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935" activeTab="0"/>
  </bookViews>
  <sheets>
    <sheet name="В решение " sheetId="1" r:id="rId1"/>
    <sheet name="Анализ" sheetId="2" r:id="rId2"/>
  </sheets>
  <definedNames>
    <definedName name="_xlnm._FilterDatabase" localSheetId="1" hidden="1">'Анализ'!$B$9:$H$429</definedName>
    <definedName name="_xlnm._FilterDatabase" localSheetId="0" hidden="1">'В решение '!$A$9:$G$403</definedName>
    <definedName name="_xlnm.Print_Area" localSheetId="1">'Анализ'!$A$1:$R$429</definedName>
    <definedName name="_xlnm.Print_Area" localSheetId="0">'В решение '!$A$1:$H$403</definedName>
  </definedNames>
  <calcPr fullCalcOnLoad="1"/>
</workbook>
</file>

<file path=xl/sharedStrings.xml><?xml version="1.0" encoding="utf-8"?>
<sst xmlns="http://schemas.openxmlformats.org/spreadsheetml/2006/main" count="4221" uniqueCount="487">
  <si>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</si>
  <si>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</si>
  <si>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</si>
  <si>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</si>
  <si>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ЗДРАВООХРАНЕНИЕ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</si>
  <si>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</si>
  <si>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</si>
  <si>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</si>
  <si>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</si>
  <si>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</si>
  <si>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</si>
  <si>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</si>
  <si>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</si>
  <si>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</si>
  <si>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</si>
  <si>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</si>
  <si>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</si>
  <si>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</si>
  <si>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</si>
  <si>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</si>
  <si>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</si>
  <si>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</si>
  <si>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</si>
  <si>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</si>
  <si>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</si>
  <si>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</si>
  <si>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</si>
  <si>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</si>
  <si>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</si>
  <si>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</si>
  <si>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</si>
  <si>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</si>
  <si>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</si>
  <si>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</si>
  <si>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</si>
  <si>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</si>
  <si>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</si>
  <si>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</si>
  <si>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</si>
  <si>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</si>
  <si>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</si>
  <si>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</si>
  <si>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</si>
  <si>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</si>
  <si>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</si>
  <si>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</si>
  <si>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</si>
  <si>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</si>
  <si>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</si>
  <si>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</si>
  <si>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</si>
  <si>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</si>
  <si>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</si>
  <si>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</si>
  <si>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</si>
  <si>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</si>
  <si>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</si>
  <si>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</si>
  <si>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</si>
  <si>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</si>
  <si>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</si>
  <si>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</si>
  <si>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</si>
  <si>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</si>
  <si>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</si>
  <si>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</si>
  <si>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</si>
  <si>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</si>
  <si>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</si>
  <si>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</si>
  <si>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</si>
  <si>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</si>
  <si>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</si>
  <si>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</si>
  <si>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</si>
  <si>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 xml:space="preserve">Субсидии на иные цели муниципальным бюджетным учреждениям, обеспечивающим предоставление услуг в сфере здравоохранения (Предоставление субсидий бюджетным, автономным учреждениям и иным некоммерческим организациям).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</si>
  <si>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(Предоставление субсидий бюджетным, автономным учреждениям и иным некоммерческим организациям)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</si>
  <si>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 (Предоставление субсидий бюджетным, автономным учреждениям и иным некоммерческим организациям)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</si>
  <si>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</si>
  <si>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</si>
  <si>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</si>
  <si>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</si>
  <si>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</si>
  <si>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</si>
  <si>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</si>
  <si>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</si>
  <si>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</si>
  <si>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</si>
  <si>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</si>
  <si>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</si>
  <si>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</si>
  <si>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</si>
  <si>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</si>
  <si>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</si>
  <si>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</si>
  <si>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</si>
  <si>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</si>
  <si>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</si>
  <si>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</si>
  <si>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06 1</t>
  </si>
  <si>
    <t>Подпрограмма "Строительство подводящего газопровода к дому культуры станицы Преградной с установкой шкафных регуляторных пунктов и котельного оборудования"</t>
  </si>
  <si>
    <t>06 1 01 20660</t>
  </si>
  <si>
    <t>08 0 01 20680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</si>
  <si>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</si>
  <si>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09 0 01 20690</t>
  </si>
  <si>
    <t>Муниципальная программа "Профилактика терроризма и экстремизма в Урупском муниципальном районе на 2016-2018 годы"</t>
  </si>
  <si>
    <t>10 0 01 20700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</si>
  <si>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</si>
  <si>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</si>
  <si>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99 9 00 80030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</si>
  <si>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</si>
  <si>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</si>
  <si>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</si>
  <si>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05 1  03 20650</t>
  </si>
  <si>
    <t>05 1</t>
  </si>
  <si>
    <t>05 1 03</t>
  </si>
  <si>
    <t>Подпрограмма "Совершенствование оказания специализированной медицинской помощи"</t>
  </si>
  <si>
    <t>05 2</t>
  </si>
  <si>
    <t>Основное мероприятие "Совершенствование системы выявления ранних форм туберкулеза и оказание медицинской помощи больным с социально-значимыми заболеваниями"</t>
  </si>
  <si>
    <t>05 2 01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</si>
  <si>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населения"(Предоставление субсидий бюджетным, автономным учреждениям и иным некоммерческим организациям)</t>
  </si>
  <si>
    <t xml:space="preserve">05 2 01 42100 </t>
  </si>
  <si>
    <t>Подпрограмма "Оказание паллиативной помощи"</t>
  </si>
  <si>
    <t>05 4</t>
  </si>
  <si>
    <t>Основное мероприятие "Оказание медицинской помощи в отделении сестринского ухода"</t>
  </si>
  <si>
    <t>05 4 02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</si>
  <si>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</si>
  <si>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</si>
  <si>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</si>
  <si>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</si>
  <si>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</si>
  <si>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</si>
  <si>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</si>
  <si>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</si>
  <si>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</si>
  <si>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03 5  02 21140</t>
  </si>
  <si>
    <t>03 5 02  20530</t>
  </si>
  <si>
    <t>03 5 02 20530</t>
  </si>
  <si>
    <t>03 5  02 20540</t>
  </si>
  <si>
    <t>03 5 02 20540</t>
  </si>
  <si>
    <t xml:space="preserve">Муниципальная целевая программа  "Развитие культуры Урупского муниципального района на 2015-2017 года" </t>
  </si>
  <si>
    <t xml:space="preserve">04 4 </t>
  </si>
  <si>
    <t xml:space="preserve">Подпрограмма  "Развитие досуговой деятельности, народного творчества" 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</si>
  <si>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</si>
  <si>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</si>
  <si>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</si>
  <si>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</si>
  <si>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</si>
  <si>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</si>
  <si>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 xml:space="preserve">Подпрограмма  "Развитие библиотечного дела" </t>
  </si>
  <si>
    <t>04 1</t>
  </si>
  <si>
    <t>04 1 01</t>
  </si>
  <si>
    <t>04 1 01 20610</t>
  </si>
  <si>
    <t>11 0 01</t>
  </si>
  <si>
    <t>11 0 01  84000</t>
  </si>
  <si>
    <t>Муниципальная целевая программы "Развитие физической культуры и спорта в  Урупском муниципальном районе  на 2012-2016 годы"</t>
  </si>
  <si>
    <t>07 0 01</t>
  </si>
  <si>
    <t>07 0  01 20670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</si>
  <si>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</si>
  <si>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</si>
  <si>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</si>
  <si>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</si>
  <si>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</si>
  <si>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</si>
  <si>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03 1 03  22110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</si>
  <si>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</si>
  <si>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03 1  03 21140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</si>
  <si>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</si>
  <si>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</si>
  <si>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</si>
  <si>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</si>
  <si>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</si>
  <si>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</si>
  <si>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>03 3 01 22010</t>
  </si>
  <si>
    <t>03 3 01 21140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</si>
  <si>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</si>
  <si>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</si>
  <si>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</si>
  <si>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</si>
  <si>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</si>
  <si>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</si>
  <si>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</si>
  <si>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</si>
  <si>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</si>
  <si>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</si>
  <si>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</si>
  <si>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</si>
  <si>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</si>
  <si>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</si>
  <si>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</si>
  <si>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В 05 10130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</si>
  <si>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</si>
  <si>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</si>
  <si>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</si>
  <si>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</si>
  <si>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</si>
  <si>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</si>
  <si>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 xml:space="preserve">Основное мероприятие "Предупреждение безнадзорности, профилактика правонарушений несовершеннолетних" (Закупка товаров, работ и услуг для обеспечения государственных (муниципальных) нужд) 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</si>
  <si>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</si>
  <si>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</si>
  <si>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</si>
  <si>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</si>
  <si>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</si>
  <si>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</si>
  <si>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03 3 01 20100</t>
  </si>
  <si>
    <t>03 3 01 20130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</si>
  <si>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</si>
  <si>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Основное мероприятие "Мероприятия по установке шкафных регуляторных пунктов и котельного оборудования здания дома культуры"</t>
  </si>
  <si>
    <t xml:space="preserve">08 0 01 </t>
  </si>
  <si>
    <t xml:space="preserve">06 1 01 </t>
  </si>
  <si>
    <t xml:space="preserve">09 0 01 </t>
  </si>
  <si>
    <t xml:space="preserve">10 0 01 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</si>
  <si>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</si>
  <si>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</si>
  <si>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</si>
  <si>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</si>
  <si>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</si>
  <si>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</si>
  <si>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</si>
  <si>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</si>
  <si>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</si>
  <si>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</si>
  <si>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</si>
  <si>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</si>
  <si>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</si>
  <si>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</si>
  <si>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</si>
  <si>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</si>
  <si>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</si>
  <si>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</si>
  <si>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</si>
  <si>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</si>
  <si>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</si>
  <si>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</si>
  <si>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>99 9 00 20060</t>
  </si>
  <si>
    <t>Муниципальная программа "Социальная поддержка населения Урупского муниципального района" на 2015-2017г.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</si>
  <si>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</si>
  <si>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</si>
  <si>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</si>
  <si>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</si>
  <si>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01 1 01 74800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</si>
  <si>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</si>
  <si>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01 1 01 75100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</si>
  <si>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</si>
  <si>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01 1 01 75200</t>
  </si>
  <si>
    <t>01 1 01 75300</t>
  </si>
  <si>
    <t>01 1 01 75500</t>
  </si>
  <si>
    <t>01 1  01 53800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</si>
  <si>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</si>
  <si>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01 1 01 40840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</si>
  <si>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</si>
  <si>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</t>
  </si>
  <si>
    <t>01 1 01 41000</t>
  </si>
  <si>
    <t>01 2</t>
  </si>
  <si>
    <t xml:space="preserve">01 2 02 </t>
  </si>
  <si>
    <t xml:space="preserve">Муниципальная программа  "Управление муниципальными финансами в Урупском муниципальном районе на 2015-2017 годы"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</si>
  <si>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</si>
  <si>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</si>
  <si>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</si>
  <si>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</si>
  <si>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</si>
  <si>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Обеспечение эффективного управления кадровыми ресурсами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</si>
  <si>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</si>
  <si>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</si>
  <si>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</si>
  <si>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</si>
  <si>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</si>
  <si>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Проведение  мероприятий в рамках Программы за счет средств местного бюджета (Социальное обеспечение и иные выплаты населению)</t>
  </si>
  <si>
    <t>Проведение мероприятий в рамках Программы за счет средств республиканского бюджета Карачаево-Черкесской Республики (Социальное обеспечение и иные выплаты населению)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</si>
  <si>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</si>
  <si>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02 5 01 20460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</si>
  <si>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</si>
  <si>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</si>
  <si>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05 4 02 42200</t>
  </si>
  <si>
    <t>Дополнительное пенсионное обеспечение муниципальных служащих (Социальное обеспечение и иные выплаты населению)</t>
  </si>
  <si>
    <t>03 3 01 46000</t>
  </si>
  <si>
    <t>03 3 01 20510</t>
  </si>
  <si>
    <t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</si>
  <si>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</si>
  <si>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</si>
  <si>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>Основное мероприятие "Мероприятия в сфере культуры, в том числе комплектование книжных фондов библиотек"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</si>
  <si>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</si>
  <si>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</si>
  <si>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</si>
  <si>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</si>
  <si>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Подпрограмма "Финансовое обеспечение условий реализации муниципальной программы "Образование" на 2015-2020 годы "</t>
  </si>
  <si>
    <t>03 3 01</t>
  </si>
  <si>
    <t>01 2 02 10190</t>
  </si>
  <si>
    <t>Основное мероприятие "Государственная поддержка решения жилищной проблемы молодых семей"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</si>
  <si>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</si>
  <si>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</si>
  <si>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 xml:space="preserve"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</si>
  <si>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Проведение мероприятий по Всероссийской сельскохозяйственной переписи в 2016 году (Закупка товаров, работ и услуг для  обеспечения государственных (муниципальных) нужд)</t>
  </si>
  <si>
    <t>Основное мероприятие "Обеспечение качества образовательных услуг"</t>
  </si>
  <si>
    <t>99 8 00 10110</t>
  </si>
  <si>
    <t>99 8 00 10120</t>
  </si>
  <si>
    <t>99 8 00 10140</t>
  </si>
  <si>
    <t>Основное мероприятие "Развитие первичной медико-санитарной помощи. Совершенствование системы раннего выявления заболеваний, факторов риска их развития, включая проведение профилактических осмотров, диспантеризации населения, в том числе у детей"</t>
  </si>
  <si>
    <t>99 8 00</t>
  </si>
  <si>
    <t xml:space="preserve">99 8 </t>
  </si>
  <si>
    <t>Финансовое обеспечение целевых расходов муниципального образования</t>
  </si>
  <si>
    <t>Иные непрограммные мероприятия целевых расходов</t>
  </si>
  <si>
    <t>99 8 00 53910</t>
  </si>
  <si>
    <t>12</t>
  </si>
  <si>
    <t>Другие вопросы в области национальной экономики</t>
  </si>
  <si>
    <t>99 8 00 80330</t>
  </si>
  <si>
    <t>Основное мероприятие "Эффективное финансовое обеспечение программы"</t>
  </si>
  <si>
    <t>Предоставление мер социальной поддержки лицам, признанным пострадавшими от политических репрессий (Социальное обеспечение и иные выплаты населению)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</si>
  <si>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</si>
  <si>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</si>
  <si>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</si>
  <si>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</si>
  <si>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лиц(Закупка товаров, работ и услуг для обеспечения государственных( муниципальных) нужд)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</si>
  <si>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</si>
  <si>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</si>
  <si>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</si>
  <si>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 муниципальных) нужд) </t>
    </r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</si>
  <si>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</si>
  <si>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</si>
  <si>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</si>
  <si>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</si>
  <si>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</si>
  <si>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</si>
  <si>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</si>
  <si>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</si>
  <si>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</si>
  <si>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</si>
  <si>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</si>
  <si>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</si>
  <si>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</si>
  <si>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05 1 03 42200</t>
  </si>
  <si>
    <t>Муниципальная целевая программа "Развитие здравоохранения Урупского муниципального района на 2015-2018 годы"</t>
  </si>
  <si>
    <t>Муниципальная программа "Газификация Урупского муниципального района на 2016-2019 годы"</t>
  </si>
  <si>
    <t>Муниципальная программа "Профилактика правонарушений в  Урупском муниципальном районе  на 2016-2020 годы"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</si>
  <si>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</si>
  <si>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>Муниципальная программа "Обеспечение жильем молодых семей на 2016-2020 годы" Урупского муниципального района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</si>
  <si>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</si>
  <si>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</si>
  <si>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2015-2017 г.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</si>
  <si>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</si>
  <si>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</si>
  <si>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</si>
  <si>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</si>
  <si>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</si>
  <si>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</si>
  <si>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</si>
  <si>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</si>
  <si>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358</t>
  </si>
  <si>
    <t>04 4  01 20641</t>
  </si>
  <si>
    <t>03 1 03 20490</t>
  </si>
  <si>
    <t>01 1 01 41230</t>
  </si>
  <si>
    <t xml:space="preserve">Назначение и выплата республиканского материнского капитала при рождении четвертого ребенка или последующих детей (Социальное обеспечение и иные выплаты населению) </t>
  </si>
  <si>
    <t xml:space="preserve">Назначение и выплата республиканского материнского капитала при рождении четвертого ребенка или последующих детей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</si>
  <si>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</si>
  <si>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</si>
  <si>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лицам, признанным пострадавшими от политических репрессий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</si>
  <si>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 государственных (муниципальных) нужд) </t>
  </si>
  <si>
    <t xml:space="preserve">Предоставление субсидий на оплату жилого помещения и коммунальных услуг (Закупка товаров, работ и услуг для обеспечения  государственных (муниципальных) нужд) </t>
  </si>
  <si>
    <t>02 2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</si>
  <si>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</si>
  <si>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</si>
  <si>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02 2 02</t>
  </si>
  <si>
    <t>02 2 02 10190</t>
  </si>
  <si>
    <t>01 1 01 43000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</si>
  <si>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</si>
  <si>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03 6</t>
  </si>
  <si>
    <t>Подпрограмма "Горячее питание школьников"</t>
  </si>
  <si>
    <t>Основное мероприятие "Обеспечение качественного сбалансированного школьного питания"</t>
  </si>
  <si>
    <t>03 6 02</t>
  </si>
  <si>
    <t>03 6 02 20870</t>
  </si>
  <si>
    <t>Горячее питание школьников  (Закупка товаров, работ и услуг для обеспечения государственных( муниципальных) нужд)</t>
  </si>
  <si>
    <t>Общеэкономические вопросы</t>
  </si>
  <si>
    <t>99 9 00 21000</t>
  </si>
  <si>
    <t>Реализация мероприятий активной политики занятости населения (Предоставление субсидий бюджетным, автономным учреждениям и иным некоммерческим организациям)</t>
  </si>
  <si>
    <t>Реализация мероприятий активной политики занятости населения (Закупка товаров, работ и услуг для обеспечения государственных        (муниципальных) нужд)</t>
  </si>
  <si>
    <t>Реализация мероприятий активной политики занятости населения (Межбюджетные трансферты)</t>
  </si>
  <si>
    <t>Расходы на обеспечение деятельности (оказание услуг) подведомственных учреждений дошкольного образования за счет целевых средств (пожертвований) (Закупка товаров, работ и услуг для обеспечения государственных ( муниципальных) нужд)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</si>
  <si>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</si>
  <si>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целях финансового обеспечения дорожной деятельности в отношении автомобильных дорог местного значения в границах населенных пунктов поселений  (Межбюджетные трансферты)</t>
  </si>
  <si>
    <t>99 9 00 80040</t>
  </si>
  <si>
    <t>Прочие межбюджетные трансферты общего характера</t>
  </si>
  <si>
    <t>99 9</t>
  </si>
  <si>
    <t>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 (Закупка товаров, работ и услуг для обеспечения государственных (муниципальных) нужд)</t>
  </si>
  <si>
    <t xml:space="preserve">03 3 01 </t>
  </si>
  <si>
    <t>03 3 01 20730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</si>
  <si>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 государственных (муниципальных) нужд)</t>
  </si>
  <si>
    <t>01 1 01 50840</t>
  </si>
  <si>
    <t xml:space="preserve">01 1 01 50840 </t>
  </si>
  <si>
    <t>Мероприятия в целях финансового обеспечения организации транспортного обслуживания населения в границах сельского поселения (Межбюджетные трансферты)</t>
  </si>
  <si>
    <t>99 9 00 80050</t>
  </si>
  <si>
    <t>Основное мероприятияе "Укладка футбольного поля искусственными покрытиями"</t>
  </si>
  <si>
    <t>99 8 00 21000</t>
  </si>
  <si>
    <t>99 8</t>
  </si>
  <si>
    <t xml:space="preserve">99 8 00 </t>
  </si>
  <si>
    <t>07 0 02</t>
  </si>
  <si>
    <t>07 0  02 20671</t>
  </si>
  <si>
    <t>99 9 00 20061</t>
  </si>
  <si>
    <t>Социальные выплаты гражданам, кроме публичных нормативных социальных выплат (Социальное обеспечение и иные выплаты населению)</t>
  </si>
  <si>
    <t>Проведение мероприятий  в рамках муниципальной целевой программы "Развитие физической культуры и спорта в Урупском муниципальном районе  (Закупка товаров, работ и услуг для обеспечения государственных (муниципальных) нужд</t>
  </si>
  <si>
    <t>Мероприятия, направленные на ремонт жилых помещений для ветеранов Великой Отечественной войны 1941-1945 годов и боевых действий (Межбюджетные трансферты )</t>
  </si>
  <si>
    <t>400</t>
  </si>
  <si>
    <t>Основное мероприятие "Строительство подводящего газопровода, с установкой шкафных регуляторных пунктов и котельного оборудования"</t>
  </si>
  <si>
    <t xml:space="preserve">06 1 03 </t>
  </si>
  <si>
    <t xml:space="preserve"> Расходы на обеспечение деятельности (оказание услуг) муниципальных  учреждений культуры (Социальное обеспечение и иные выплаты населению)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</si>
  <si>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</si>
  <si>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r>
      <t xml:space="preserve">Подпрограмма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Распределительные газопроводы низкого давления от ГРП-3 по улицам</t>
    </r>
    <r>
      <rPr>
        <sz val="11"/>
        <rFont val="Calibri"/>
        <family val="2"/>
      </rPr>
      <t>"</t>
    </r>
  </si>
  <si>
    <r>
      <t xml:space="preserve">Основное мероприятие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Внесение изменений в проектную документацию: Котельная с тремя котлами Дома культуры в ст.Преградной, пер. Пионерский,19, Урупского района"</t>
    </r>
  </si>
  <si>
    <t>06 1 03 20660</t>
  </si>
  <si>
    <t>Основное мероприятие "Проведение   государственной зкспертизы проектной документации и результатов инженерных изысканий по объекту "Распределительные газопроводы низкого давления от ГРП-3 по улицам"</t>
  </si>
  <si>
    <t>Проведение мероприятий в рамках подпрограммы (Капитальные вложения в объекты государственной (муниципальной собственности)</t>
  </si>
  <si>
    <t xml:space="preserve">06 5 01 </t>
  </si>
  <si>
    <t>Подпрограмма "Подводящий газопровод к ГРП-5 по пер.Школьному в ст.Преградная Урупского района. Газопроводы среднего и низкого давления"</t>
  </si>
  <si>
    <t>Основное мероприятие "Проведение   государственной зкспертизы проектной документации и результатов инженерных изысканий по объекту "Подводящий газопровод к ГРП-5 по пер.Школьному в ст.Преградная Урупского района. Газопроводы среднего и низкого давления"</t>
  </si>
  <si>
    <t xml:space="preserve">06 4 </t>
  </si>
  <si>
    <t xml:space="preserve">06 4 01 </t>
  </si>
  <si>
    <t>06 4 01 20660</t>
  </si>
  <si>
    <t xml:space="preserve">06 5  </t>
  </si>
  <si>
    <t>06 5 01 20660</t>
  </si>
  <si>
    <t>06 2 01 20660</t>
  </si>
  <si>
    <t>06 2</t>
  </si>
  <si>
    <t>Подпрограмма "Строительство подводящего газопровода к МКОУ "СОШ №1 ст.Преградной" с установкой шкафных регуляторных пунктов и котельного оборудования"</t>
  </si>
  <si>
    <t xml:space="preserve">06 2 01 </t>
  </si>
  <si>
    <t xml:space="preserve"> Основное мероприятие "Строительство подводящего газопровода к МКОУ "СОШ №1 ст. Преградной" с установкой шкафных регуляторных пунктов и котельного оборудования"</t>
  </si>
  <si>
    <t>Муниципальная программа "Комплексное развитие транспортной инфраструктуры сельских поселений на территории Урупского муниципального района района на 2016-2025 годы"</t>
  </si>
  <si>
    <t>000</t>
  </si>
  <si>
    <t>Основное мероприятие "Дорожный комплекс"</t>
  </si>
  <si>
    <t>12 0 01</t>
  </si>
  <si>
    <t>11 0 01 L0200</t>
  </si>
  <si>
    <t>12 0 01 80030</t>
  </si>
  <si>
    <t xml:space="preserve">Капитальный ремонт и ремонт автомобильных дорог общего пользования населенных пунктов за счет средств местного бюджета (Закупка товаров, работ и услуг для обеспечения государственных (муниципальных) нужд) </t>
  </si>
  <si>
    <t>12 0 01 М7Д10</t>
  </si>
  <si>
    <t>Капитальный ремонт и ремонт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</si>
  <si>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</si>
  <si>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 </t>
  </si>
  <si>
    <t xml:space="preserve">Обеспечение учебного процесса в муниципальных общеобразовательных учреждениях (Социальное обеспечение и иные выплаты населению) </t>
  </si>
  <si>
    <t>99 9 00 46660</t>
  </si>
  <si>
    <t xml:space="preserve">Капитальный ремонт и ремонт автомобильных дорог общего пользования населенных пунктов за счет средств республиканского бюджета (Закупка товаров, работ и услуг для обеспечения государственных (муниципальных) нужд) </t>
  </si>
  <si>
    <t>12 0 01 97Д10</t>
  </si>
  <si>
    <t>99 9 00 51040</t>
  </si>
  <si>
    <t>Проведение мероприятий  по предупреждению и ликвидации чрезвычайных ситуаций и последствий стихийных бедствий за счет средств резервного фонда Правительства Российской Федерации (Социальное обеспечение и иные выплаты населению)</t>
  </si>
  <si>
    <t xml:space="preserve">Проведение неотложных аварийно-восстановительных работ  за счет средств резервного фонда Правительства Карачаево-Черкесской Республики (Закупка товаров, работ и услуг для обеспечения государственных (муниципальных) нужд) </t>
  </si>
  <si>
    <r>
      <t xml:space="preserve">Проведение мероприятий за счет резервного фонда местной администрации муниципального образования на приобретение вакцин </t>
    </r>
    <r>
      <rPr>
        <sz val="11"/>
        <rFont val="Calibri"/>
        <family val="2"/>
      </rPr>
      <t>(</t>
    </r>
    <r>
      <rPr>
        <sz val="11"/>
        <rFont val="Times New Roman"/>
        <family val="1"/>
      </rPr>
      <t>Иные бюджетные ассигнования</t>
    </r>
    <r>
      <rPr>
        <sz val="11"/>
        <rFont val="Calibri"/>
        <family val="2"/>
      </rPr>
      <t>)</t>
    </r>
  </si>
  <si>
    <t>Проведение  мероприятий в рамках Программы за счет средств федерального бюджета (Социальное обеспечение и иные выплаты населению)</t>
  </si>
  <si>
    <t>11 0 01 50200</t>
  </si>
  <si>
    <t>99 9 00 80060</t>
  </si>
  <si>
    <t>99 9 00 80330</t>
  </si>
  <si>
    <t>Мероприятия, связанные с проведением  кадастровых работ земельных участков (Закупка товаров, работ и услуг для обеспечения государственных (муниципальных) нужд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</si>
  <si>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</si>
  <si>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99 9 00 80051</t>
  </si>
  <si>
    <t xml:space="preserve">Мероприятия в целях финансового обеспечения организации траспортного обслуживания населения в границах муниципального района (Закупка товаров, работ и услуг для обеспечения государственных (муниципальных) нужд) </t>
  </si>
  <si>
    <t>03 3 01 50880</t>
  </si>
  <si>
    <r>
      <t xml:space="preserve">Расходы на поощрение лучших учителей  за счет средств федерального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</si>
  <si>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01 1 01 54620</t>
  </si>
  <si>
    <t>Предоставление субсидий на оплату жилого помещения и коммунальных услуг (Социальное обеспечение и иные выплаты населению)</t>
  </si>
  <si>
    <t>Муниципальная программа "Доступная среда" на 2016-2017 годы в Урупском муниципальном районе</t>
  </si>
  <si>
    <t>Основное мероприятие "Комплекс мероприятий по формированию доступной среды жизнедеятельности для инвалидов и других маломобильных групп населения"</t>
  </si>
  <si>
    <t>Проведение мероприятий в рамках Программы за счет средств местного бюджета Карачаево-Черкесской Республики (Закупка товаров, работ и услуг для обеспечения государственных (муниципальных) нужд)</t>
  </si>
  <si>
    <t>Проведение мероприятий в рамках Программы за счет средств республиканского бюджета Карачаево-Черкесской Республики (Закупка товаров, работ и услуг для обеспечения государственных (муниципальных) нужд)</t>
  </si>
  <si>
    <t xml:space="preserve">13 </t>
  </si>
  <si>
    <t>13 0 02</t>
  </si>
  <si>
    <t>13 0 02 R0270</t>
  </si>
  <si>
    <t>13 0 02 L0270</t>
  </si>
  <si>
    <t>01 1 01 46000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</si>
  <si>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(Предоставление субсидий бюджетным, автономным учреждениям и иным некоммерческим организациям)</t>
  </si>
  <si>
    <t>Основное мероприятие "Проведение работ по профилактике распространения наркомании и связанных с ней правонарушений"</t>
  </si>
  <si>
    <t>01 1 01 66620</t>
  </si>
  <si>
    <t xml:space="preserve">Расходы на реализацию мероприятий по организации и оздоровлению детей (предоставление компенсации за самостоятельно приобретенную путевку)(Социальное обеспечение и иные выплаты населению) </t>
  </si>
  <si>
    <t>Предоставление компенсации  отдельным категориям граждан по оплате взноса на капитальный ремонт общего имущества в многоквартирном доме (Социальное обеспечение и иные выплаты населению)</t>
  </si>
  <si>
    <t xml:space="preserve">Предоставление компенсации отдельным категориям граждан взноса на капитальный ремонт общего имущества в многоквартирном доме отдельным категориям граждан (Социальное обеспечение и иные выплаты населению) </t>
  </si>
  <si>
    <t xml:space="preserve">Финансовое обеспечение выполнения функций органов местного самоуправления, оказания услуг и выполнения работ </t>
  </si>
  <si>
    <t xml:space="preserve">Проведение мероприятий за счет резервного фонда местной администрации муниципального образования на работы по укреплению дамбы (Закупка товаров, работ и услуг для обеспечения государственных (муниципальных) нужд) </t>
  </si>
  <si>
    <t>04 1 01 51440</t>
  </si>
  <si>
    <t>Расходы на комплектование книжных фондов библиотек муниципальных  образований (Закупка товаров, работ и услуг для обеспечения государственных (муниципальных) нужд)</t>
  </si>
  <si>
    <t>99 9 99 20051</t>
  </si>
  <si>
    <t>99 9 99 20052</t>
  </si>
  <si>
    <t>План</t>
  </si>
  <si>
    <t>Исполнено</t>
  </si>
  <si>
    <t>откл</t>
  </si>
  <si>
    <t>к решению Совета</t>
  </si>
  <si>
    <t>Урупского муниципального района</t>
  </si>
  <si>
    <t>от                     №</t>
  </si>
  <si>
    <t>Урупского муниципального района за 2016 год</t>
  </si>
  <si>
    <t>Приложение 2</t>
  </si>
  <si>
    <t>(тыс.рублей)</t>
  </si>
  <si>
    <t>99 9 00 20051</t>
  </si>
  <si>
    <t>99 9 00 20052</t>
  </si>
  <si>
    <t>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</si>
</sst>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60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8" fontId="0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178" fontId="15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178" fontId="11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78" fontId="13" fillId="0" borderId="10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8" fontId="19" fillId="0" borderId="10" xfId="0" applyNumberFormat="1" applyFont="1" applyFill="1" applyBorder="1" applyAlignment="1">
      <alignment vertical="center"/>
    </xf>
    <xf numFmtId="178" fontId="5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178" fontId="0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4" fontId="20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4"/>
  <sheetViews>
    <sheetView tabSelected="1" view="pageBreakPreview" zoomScale="89" zoomScaleSheetLayoutView="89" zoomScalePageLayoutView="0" workbookViewId="0" topLeftCell="A1">
      <selection activeCell="E12" sqref="E12"/>
    </sheetView>
  </sheetViews>
  <sheetFormatPr defaultColWidth="9.00390625" defaultRowHeight="12.75"/>
  <cols>
    <col min="1" max="1" width="65.25390625" style="52" customWidth="1"/>
    <col min="2" max="2" width="5.00390625" style="53" customWidth="1"/>
    <col min="3" max="3" width="3.875" style="53" customWidth="1"/>
    <col min="4" max="4" width="4.625" style="53" customWidth="1"/>
    <col min="5" max="5" width="15.875" style="54" customWidth="1"/>
    <col min="6" max="6" width="9.625" style="53" customWidth="1"/>
    <col min="7" max="7" width="11.875" style="118" hidden="1" customWidth="1"/>
    <col min="8" max="8" width="15.25390625" style="109" customWidth="1"/>
    <col min="9" max="9" width="11.125" style="0" customWidth="1"/>
    <col min="10" max="10" width="11.375" style="0" customWidth="1"/>
    <col min="11" max="11" width="10.75390625" style="0" customWidth="1"/>
  </cols>
  <sheetData>
    <row r="1" spans="1:8" s="1" customFormat="1" ht="18.75">
      <c r="A1" s="100"/>
      <c r="B1" s="100"/>
      <c r="C1" s="100"/>
      <c r="D1" s="122" t="s">
        <v>482</v>
      </c>
      <c r="E1" s="122"/>
      <c r="F1" s="122"/>
      <c r="G1" s="51"/>
      <c r="H1" s="109"/>
    </row>
    <row r="2" spans="1:8" s="1" customFormat="1" ht="18.75">
      <c r="A2" s="100"/>
      <c r="B2" s="100"/>
      <c r="C2" s="100"/>
      <c r="D2" s="122" t="s">
        <v>478</v>
      </c>
      <c r="E2" s="122"/>
      <c r="F2" s="122"/>
      <c r="G2" s="51"/>
      <c r="H2" s="109"/>
    </row>
    <row r="3" spans="1:8" s="1" customFormat="1" ht="15" customHeight="1">
      <c r="A3" s="101"/>
      <c r="B3" s="101"/>
      <c r="C3" s="101"/>
      <c r="D3" s="104" t="s">
        <v>479</v>
      </c>
      <c r="E3" s="104"/>
      <c r="F3" s="104"/>
      <c r="G3" s="110"/>
      <c r="H3" s="110"/>
    </row>
    <row r="4" spans="1:8" s="1" customFormat="1" ht="15.75" customHeight="1">
      <c r="A4" s="5"/>
      <c r="B4" s="6"/>
      <c r="C4" s="6"/>
      <c r="D4" s="104" t="s">
        <v>480</v>
      </c>
      <c r="E4" s="119">
        <v>42874</v>
      </c>
      <c r="F4" s="104" t="s">
        <v>486</v>
      </c>
      <c r="G4" s="51"/>
      <c r="H4" s="109"/>
    </row>
    <row r="5" spans="1:8" s="1" customFormat="1" ht="17.25" customHeight="1">
      <c r="A5" s="5"/>
      <c r="B5" s="6"/>
      <c r="C5" s="6"/>
      <c r="D5" s="6"/>
      <c r="E5" s="102"/>
      <c r="F5" s="6"/>
      <c r="G5" s="51"/>
      <c r="H5" s="109"/>
    </row>
    <row r="6" spans="1:8" s="1" customFormat="1" ht="18.75">
      <c r="A6" s="120" t="s">
        <v>38</v>
      </c>
      <c r="B6" s="120"/>
      <c r="C6" s="120"/>
      <c r="D6" s="120"/>
      <c r="E6" s="120"/>
      <c r="F6" s="120"/>
      <c r="G6" s="120"/>
      <c r="H6" s="120"/>
    </row>
    <row r="7" spans="1:8" s="1" customFormat="1" ht="18.75">
      <c r="A7" s="121" t="s">
        <v>481</v>
      </c>
      <c r="B7" s="121"/>
      <c r="C7" s="121"/>
      <c r="D7" s="121"/>
      <c r="E7" s="121"/>
      <c r="F7" s="121"/>
      <c r="G7" s="121"/>
      <c r="H7" s="121"/>
    </row>
    <row r="8" spans="1:8" s="1" customFormat="1" ht="18.75">
      <c r="A8" s="103"/>
      <c r="B8" s="103"/>
      <c r="C8" s="103"/>
      <c r="D8" s="103"/>
      <c r="E8" s="103"/>
      <c r="F8" s="103"/>
      <c r="G8" s="111"/>
      <c r="H8" s="112" t="s">
        <v>483</v>
      </c>
    </row>
    <row r="9" spans="1:9" s="1" customFormat="1" ht="60">
      <c r="A9" s="10" t="s">
        <v>57</v>
      </c>
      <c r="B9" s="10" t="s">
        <v>23</v>
      </c>
      <c r="C9" s="10" t="s">
        <v>19</v>
      </c>
      <c r="D9" s="10" t="s">
        <v>20</v>
      </c>
      <c r="E9" s="11" t="s">
        <v>21</v>
      </c>
      <c r="F9" s="10" t="s">
        <v>22</v>
      </c>
      <c r="G9" s="10" t="s">
        <v>475</v>
      </c>
      <c r="H9" s="79" t="s">
        <v>476</v>
      </c>
      <c r="I9" s="85"/>
    </row>
    <row r="10" spans="1:11" s="1" customFormat="1" ht="14.25">
      <c r="A10" s="14" t="s">
        <v>18</v>
      </c>
      <c r="B10" s="81"/>
      <c r="C10" s="81"/>
      <c r="D10" s="81"/>
      <c r="E10" s="15"/>
      <c r="F10" s="82"/>
      <c r="G10" s="16">
        <f>G11+G139+G210+G287+G309+G357+G393</f>
        <v>420779.52700000006</v>
      </c>
      <c r="H10" s="16">
        <f>H11+H139+H210+H287+H309+H357+H393</f>
        <v>411713.94</v>
      </c>
      <c r="I10" s="86"/>
      <c r="J10" s="94"/>
      <c r="K10" s="88"/>
    </row>
    <row r="11" spans="1:9" s="1" customFormat="1" ht="29.25" customHeight="1">
      <c r="A11" s="15" t="s">
        <v>48</v>
      </c>
      <c r="B11" s="17" t="s">
        <v>34</v>
      </c>
      <c r="C11" s="17"/>
      <c r="D11" s="17"/>
      <c r="E11" s="18"/>
      <c r="F11" s="17"/>
      <c r="G11" s="16">
        <f>G12+G56+G67+G100+G118+G134</f>
        <v>43356.740000000005</v>
      </c>
      <c r="H11" s="16">
        <f>H12+H56+H67+H100+H118+H134</f>
        <v>38127.240000000005</v>
      </c>
      <c r="I11" s="86"/>
    </row>
    <row r="12" spans="1:8" s="1" customFormat="1" ht="14.25">
      <c r="A12" s="15" t="s">
        <v>63</v>
      </c>
      <c r="B12" s="17" t="s">
        <v>34</v>
      </c>
      <c r="C12" s="17" t="s">
        <v>25</v>
      </c>
      <c r="D12" s="17"/>
      <c r="E12" s="18"/>
      <c r="F12" s="17"/>
      <c r="G12" s="16">
        <f>G13+G22+G26</f>
        <v>19343.3</v>
      </c>
      <c r="H12" s="16">
        <f>H13+H22+H26</f>
        <v>18640.9</v>
      </c>
    </row>
    <row r="13" spans="1:8" s="2" customFormat="1" ht="47.25" customHeight="1">
      <c r="A13" s="19" t="s">
        <v>40</v>
      </c>
      <c r="B13" s="20" t="s">
        <v>34</v>
      </c>
      <c r="C13" s="20" t="s">
        <v>25</v>
      </c>
      <c r="D13" s="20" t="s">
        <v>26</v>
      </c>
      <c r="E13" s="21"/>
      <c r="F13" s="20"/>
      <c r="G13" s="22">
        <f>G14+G17</f>
        <v>10842.9</v>
      </c>
      <c r="H13" s="22">
        <f>H14+H17</f>
        <v>10335.8</v>
      </c>
    </row>
    <row r="14" spans="1:8" s="1" customFormat="1" ht="33" customHeight="1">
      <c r="A14" s="11" t="s">
        <v>85</v>
      </c>
      <c r="B14" s="23" t="s">
        <v>34</v>
      </c>
      <c r="C14" s="23" t="s">
        <v>25</v>
      </c>
      <c r="D14" s="23" t="s">
        <v>26</v>
      </c>
      <c r="E14" s="24" t="s">
        <v>79</v>
      </c>
      <c r="F14" s="23"/>
      <c r="G14" s="25">
        <f>G15</f>
        <v>697.3000000000001</v>
      </c>
      <c r="H14" s="25">
        <f>H15</f>
        <v>693.9</v>
      </c>
    </row>
    <row r="15" spans="1:8" s="1" customFormat="1" ht="18.75" customHeight="1">
      <c r="A15" s="11" t="s">
        <v>78</v>
      </c>
      <c r="B15" s="23" t="s">
        <v>80</v>
      </c>
      <c r="C15" s="23" t="s">
        <v>25</v>
      </c>
      <c r="D15" s="23" t="s">
        <v>26</v>
      </c>
      <c r="E15" s="24" t="s">
        <v>81</v>
      </c>
      <c r="F15" s="23"/>
      <c r="G15" s="25">
        <f>G16</f>
        <v>697.3000000000001</v>
      </c>
      <c r="H15" s="25">
        <f>H16</f>
        <v>693.9</v>
      </c>
    </row>
    <row r="16" spans="1:8" s="1" customFormat="1" ht="90.75" customHeight="1">
      <c r="A16" s="11" t="s">
        <v>89</v>
      </c>
      <c r="B16" s="23" t="s">
        <v>34</v>
      </c>
      <c r="C16" s="23" t="s">
        <v>25</v>
      </c>
      <c r="D16" s="23" t="s">
        <v>26</v>
      </c>
      <c r="E16" s="24" t="s">
        <v>72</v>
      </c>
      <c r="F16" s="23" t="s">
        <v>59</v>
      </c>
      <c r="G16" s="25">
        <f>643.7+53.6</f>
        <v>697.3000000000001</v>
      </c>
      <c r="H16" s="113">
        <v>693.9</v>
      </c>
    </row>
    <row r="17" spans="1:8" s="1" customFormat="1" ht="27.75" customHeight="1">
      <c r="A17" s="11" t="s">
        <v>86</v>
      </c>
      <c r="B17" s="23" t="s">
        <v>34</v>
      </c>
      <c r="C17" s="23" t="s">
        <v>25</v>
      </c>
      <c r="D17" s="23" t="s">
        <v>26</v>
      </c>
      <c r="E17" s="24" t="s">
        <v>82</v>
      </c>
      <c r="F17" s="23"/>
      <c r="G17" s="25">
        <f>G18</f>
        <v>10145.6</v>
      </c>
      <c r="H17" s="25">
        <f>H18</f>
        <v>9641.9</v>
      </c>
    </row>
    <row r="18" spans="1:8" s="1" customFormat="1" ht="17.25" customHeight="1">
      <c r="A18" s="11" t="s">
        <v>78</v>
      </c>
      <c r="B18" s="23" t="s">
        <v>80</v>
      </c>
      <c r="C18" s="23" t="s">
        <v>25</v>
      </c>
      <c r="D18" s="23" t="s">
        <v>26</v>
      </c>
      <c r="E18" s="24" t="s">
        <v>83</v>
      </c>
      <c r="F18" s="23"/>
      <c r="G18" s="25">
        <f>G19+G20+G21</f>
        <v>10145.6</v>
      </c>
      <c r="H18" s="25">
        <f>H19+H20+H21</f>
        <v>9641.9</v>
      </c>
    </row>
    <row r="19" spans="1:8" s="1" customFormat="1" ht="93.75" customHeight="1">
      <c r="A19" s="11" t="s">
        <v>93</v>
      </c>
      <c r="B19" s="23" t="s">
        <v>34</v>
      </c>
      <c r="C19" s="23" t="s">
        <v>25</v>
      </c>
      <c r="D19" s="23" t="s">
        <v>26</v>
      </c>
      <c r="E19" s="24" t="s">
        <v>73</v>
      </c>
      <c r="F19" s="23" t="s">
        <v>59</v>
      </c>
      <c r="G19" s="25">
        <f>4848.2+27.7+0.1-156.1</f>
        <v>4719.9</v>
      </c>
      <c r="H19" s="113">
        <v>4691</v>
      </c>
    </row>
    <row r="20" spans="1:9" s="1" customFormat="1" ht="57.75" customHeight="1">
      <c r="A20" s="11" t="s">
        <v>94</v>
      </c>
      <c r="B20" s="23" t="s">
        <v>34</v>
      </c>
      <c r="C20" s="23" t="s">
        <v>25</v>
      </c>
      <c r="D20" s="23" t="s">
        <v>26</v>
      </c>
      <c r="E20" s="24" t="s">
        <v>73</v>
      </c>
      <c r="F20" s="23" t="s">
        <v>58</v>
      </c>
      <c r="G20" s="25">
        <f>2839.9+1572.2+408.7+1194.7-551.7-40-27.7-16-355.6-10-99.9-90-270-160-25.4+240+100+100+250-232+66.6-0.8-58.9+336.7</f>
        <v>5170.800000000001</v>
      </c>
      <c r="H20" s="113">
        <v>4723.9</v>
      </c>
      <c r="I20" s="87"/>
    </row>
    <row r="21" spans="1:8" s="1" customFormat="1" ht="45" customHeight="1">
      <c r="A21" s="11" t="s">
        <v>271</v>
      </c>
      <c r="B21" s="23" t="s">
        <v>34</v>
      </c>
      <c r="C21" s="23" t="s">
        <v>25</v>
      </c>
      <c r="D21" s="23" t="s">
        <v>26</v>
      </c>
      <c r="E21" s="24" t="s">
        <v>73</v>
      </c>
      <c r="F21" s="23" t="s">
        <v>54</v>
      </c>
      <c r="G21" s="25">
        <v>254.9</v>
      </c>
      <c r="H21" s="113">
        <v>227</v>
      </c>
    </row>
    <row r="22" spans="1:8" s="2" customFormat="1" ht="14.25" customHeight="1">
      <c r="A22" s="19" t="s">
        <v>65</v>
      </c>
      <c r="B22" s="20" t="s">
        <v>34</v>
      </c>
      <c r="C22" s="20" t="s">
        <v>25</v>
      </c>
      <c r="D22" s="20" t="s">
        <v>43</v>
      </c>
      <c r="E22" s="21"/>
      <c r="F22" s="20"/>
      <c r="G22" s="22">
        <f>G25</f>
        <v>13.099999999999994</v>
      </c>
      <c r="H22" s="22">
        <f>H25</f>
        <v>0</v>
      </c>
    </row>
    <row r="23" spans="1:8" s="12" customFormat="1" ht="26.25" customHeight="1">
      <c r="A23" s="11" t="s">
        <v>90</v>
      </c>
      <c r="B23" s="23" t="s">
        <v>34</v>
      </c>
      <c r="C23" s="23" t="s">
        <v>25</v>
      </c>
      <c r="D23" s="23" t="s">
        <v>43</v>
      </c>
      <c r="E23" s="24" t="s">
        <v>87</v>
      </c>
      <c r="F23" s="23"/>
      <c r="G23" s="25">
        <f>G24</f>
        <v>13.099999999999994</v>
      </c>
      <c r="H23" s="25">
        <f>H24</f>
        <v>0</v>
      </c>
    </row>
    <row r="24" spans="1:8" s="12" customFormat="1" ht="18.75" customHeight="1">
      <c r="A24" s="11" t="s">
        <v>78</v>
      </c>
      <c r="B24" s="23" t="s">
        <v>34</v>
      </c>
      <c r="C24" s="23" t="s">
        <v>25</v>
      </c>
      <c r="D24" s="23" t="s">
        <v>43</v>
      </c>
      <c r="E24" s="24" t="s">
        <v>92</v>
      </c>
      <c r="F24" s="23"/>
      <c r="G24" s="25">
        <f>G25</f>
        <v>13.099999999999994</v>
      </c>
      <c r="H24" s="25">
        <f>H25</f>
        <v>0</v>
      </c>
    </row>
    <row r="25" spans="1:8" s="1" customFormat="1" ht="30.75" customHeight="1">
      <c r="A25" s="11" t="s">
        <v>91</v>
      </c>
      <c r="B25" s="23" t="s">
        <v>34</v>
      </c>
      <c r="C25" s="23" t="s">
        <v>25</v>
      </c>
      <c r="D25" s="23" t="s">
        <v>43</v>
      </c>
      <c r="E25" s="24" t="s">
        <v>88</v>
      </c>
      <c r="F25" s="23" t="s">
        <v>54</v>
      </c>
      <c r="G25" s="25">
        <f>100-20-66.9</f>
        <v>13.099999999999994</v>
      </c>
      <c r="H25" s="113"/>
    </row>
    <row r="26" spans="1:8" s="2" customFormat="1" ht="16.5" customHeight="1">
      <c r="A26" s="19" t="s">
        <v>13</v>
      </c>
      <c r="B26" s="20" t="s">
        <v>34</v>
      </c>
      <c r="C26" s="20" t="s">
        <v>25</v>
      </c>
      <c r="D26" s="20" t="s">
        <v>52</v>
      </c>
      <c r="E26" s="29"/>
      <c r="F26" s="30"/>
      <c r="G26" s="22">
        <f>G30+G33+G36+G41+G44+G27+G53</f>
        <v>8487.3</v>
      </c>
      <c r="H26" s="22">
        <f>H30+H33+H36+H41+H44+H27+H53</f>
        <v>8305.1</v>
      </c>
    </row>
    <row r="27" spans="1:8" s="2" customFormat="1" ht="34.5" customHeight="1">
      <c r="A27" s="11" t="s">
        <v>155</v>
      </c>
      <c r="B27" s="23" t="s">
        <v>34</v>
      </c>
      <c r="C27" s="23" t="s">
        <v>25</v>
      </c>
      <c r="D27" s="23" t="s">
        <v>52</v>
      </c>
      <c r="E27" s="24" t="s">
        <v>32</v>
      </c>
      <c r="F27" s="23"/>
      <c r="G27" s="25">
        <f>G28</f>
        <v>686.3</v>
      </c>
      <c r="H27" s="25">
        <f>H28</f>
        <v>625.6</v>
      </c>
    </row>
    <row r="28" spans="1:8" s="2" customFormat="1" ht="34.5" customHeight="1">
      <c r="A28" s="11" t="s">
        <v>390</v>
      </c>
      <c r="B28" s="23" t="s">
        <v>34</v>
      </c>
      <c r="C28" s="23" t="s">
        <v>25</v>
      </c>
      <c r="D28" s="23" t="s">
        <v>52</v>
      </c>
      <c r="E28" s="24" t="s">
        <v>394</v>
      </c>
      <c r="F28" s="23"/>
      <c r="G28" s="25">
        <f>G29</f>
        <v>686.3</v>
      </c>
      <c r="H28" s="25">
        <f>H29</f>
        <v>625.6</v>
      </c>
    </row>
    <row r="29" spans="1:8" s="2" customFormat="1" ht="63.75" customHeight="1">
      <c r="A29" s="11" t="s">
        <v>398</v>
      </c>
      <c r="B29" s="23" t="s">
        <v>34</v>
      </c>
      <c r="C29" s="32" t="s">
        <v>25</v>
      </c>
      <c r="D29" s="32" t="s">
        <v>52</v>
      </c>
      <c r="E29" s="24" t="s">
        <v>395</v>
      </c>
      <c r="F29" s="23" t="s">
        <v>58</v>
      </c>
      <c r="G29" s="25">
        <f>300+270+116.3</f>
        <v>686.3</v>
      </c>
      <c r="H29" s="113">
        <v>625.6</v>
      </c>
    </row>
    <row r="30" spans="1:8" s="2" customFormat="1" ht="42.75" customHeight="1">
      <c r="A30" s="11" t="s">
        <v>333</v>
      </c>
      <c r="B30" s="23" t="s">
        <v>34</v>
      </c>
      <c r="C30" s="23" t="s">
        <v>25</v>
      </c>
      <c r="D30" s="23" t="s">
        <v>52</v>
      </c>
      <c r="E30" s="24" t="s">
        <v>31</v>
      </c>
      <c r="F30" s="23"/>
      <c r="G30" s="25">
        <f>G31</f>
        <v>5</v>
      </c>
      <c r="H30" s="25">
        <f>H31</f>
        <v>5</v>
      </c>
    </row>
    <row r="31" spans="1:8" s="2" customFormat="1" ht="63.75" customHeight="1">
      <c r="A31" s="11" t="s">
        <v>197</v>
      </c>
      <c r="B31" s="23" t="s">
        <v>34</v>
      </c>
      <c r="C31" s="23" t="s">
        <v>25</v>
      </c>
      <c r="D31" s="23" t="s">
        <v>52</v>
      </c>
      <c r="E31" s="24" t="s">
        <v>208</v>
      </c>
      <c r="F31" s="23"/>
      <c r="G31" s="25">
        <f>G32</f>
        <v>5</v>
      </c>
      <c r="H31" s="25">
        <f>H32</f>
        <v>5</v>
      </c>
    </row>
    <row r="32" spans="1:8" s="2" customFormat="1" ht="61.5" customHeight="1">
      <c r="A32" s="11" t="s">
        <v>329</v>
      </c>
      <c r="B32" s="23" t="s">
        <v>34</v>
      </c>
      <c r="C32" s="23" t="s">
        <v>25</v>
      </c>
      <c r="D32" s="23" t="s">
        <v>52</v>
      </c>
      <c r="E32" s="24" t="s">
        <v>102</v>
      </c>
      <c r="F32" s="23" t="s">
        <v>58</v>
      </c>
      <c r="G32" s="25">
        <f>50-45</f>
        <v>5</v>
      </c>
      <c r="H32" s="114">
        <v>5</v>
      </c>
    </row>
    <row r="33" spans="1:8" s="2" customFormat="1" ht="31.5" customHeight="1">
      <c r="A33" s="11" t="s">
        <v>105</v>
      </c>
      <c r="B33" s="23" t="s">
        <v>34</v>
      </c>
      <c r="C33" s="23" t="s">
        <v>25</v>
      </c>
      <c r="D33" s="23" t="s">
        <v>52</v>
      </c>
      <c r="E33" s="24" t="s">
        <v>27</v>
      </c>
      <c r="F33" s="23"/>
      <c r="G33" s="25">
        <f>G34</f>
        <v>13</v>
      </c>
      <c r="H33" s="25">
        <f>H34</f>
        <v>11</v>
      </c>
    </row>
    <row r="34" spans="1:8" s="2" customFormat="1" ht="51.75" customHeight="1">
      <c r="A34" s="11" t="s">
        <v>279</v>
      </c>
      <c r="B34" s="23" t="s">
        <v>34</v>
      </c>
      <c r="C34" s="23" t="s">
        <v>25</v>
      </c>
      <c r="D34" s="23" t="s">
        <v>52</v>
      </c>
      <c r="E34" s="24" t="s">
        <v>211</v>
      </c>
      <c r="F34" s="23"/>
      <c r="G34" s="25">
        <f>G35</f>
        <v>13</v>
      </c>
      <c r="H34" s="25">
        <f>H35</f>
        <v>11</v>
      </c>
    </row>
    <row r="35" spans="1:8" s="2" customFormat="1" ht="66.75" customHeight="1">
      <c r="A35" s="11" t="s">
        <v>327</v>
      </c>
      <c r="B35" s="23" t="s">
        <v>34</v>
      </c>
      <c r="C35" s="23" t="s">
        <v>25</v>
      </c>
      <c r="D35" s="23" t="s">
        <v>52</v>
      </c>
      <c r="E35" s="24" t="s">
        <v>106</v>
      </c>
      <c r="F35" s="23" t="s">
        <v>58</v>
      </c>
      <c r="G35" s="25">
        <v>13</v>
      </c>
      <c r="H35" s="114">
        <v>11</v>
      </c>
    </row>
    <row r="36" spans="1:8" s="1" customFormat="1" ht="30">
      <c r="A36" s="11" t="s">
        <v>86</v>
      </c>
      <c r="B36" s="23" t="s">
        <v>34</v>
      </c>
      <c r="C36" s="23" t="s">
        <v>25</v>
      </c>
      <c r="D36" s="23" t="s">
        <v>52</v>
      </c>
      <c r="E36" s="24" t="s">
        <v>82</v>
      </c>
      <c r="F36" s="23"/>
      <c r="G36" s="25">
        <f>G37</f>
        <v>2596.9</v>
      </c>
      <c r="H36" s="25">
        <f>H37</f>
        <v>2550.8</v>
      </c>
    </row>
    <row r="37" spans="1:8" s="1" customFormat="1" ht="15">
      <c r="A37" s="11" t="s">
        <v>78</v>
      </c>
      <c r="B37" s="23" t="s">
        <v>80</v>
      </c>
      <c r="C37" s="23" t="s">
        <v>25</v>
      </c>
      <c r="D37" s="23" t="s">
        <v>52</v>
      </c>
      <c r="E37" s="24" t="s">
        <v>83</v>
      </c>
      <c r="F37" s="23"/>
      <c r="G37" s="25">
        <f>G38+G39+G40</f>
        <v>2596.9</v>
      </c>
      <c r="H37" s="25">
        <f>H38+H39+H40</f>
        <v>2550.8</v>
      </c>
    </row>
    <row r="38" spans="1:8" s="1" customFormat="1" ht="90" customHeight="1">
      <c r="A38" s="11" t="s">
        <v>93</v>
      </c>
      <c r="B38" s="23" t="s">
        <v>34</v>
      </c>
      <c r="C38" s="23" t="s">
        <v>25</v>
      </c>
      <c r="D38" s="23" t="s">
        <v>52</v>
      </c>
      <c r="E38" s="24" t="s">
        <v>73</v>
      </c>
      <c r="F38" s="23" t="s">
        <v>59</v>
      </c>
      <c r="G38" s="25">
        <f>2242+4.3+108.6</f>
        <v>2354.9</v>
      </c>
      <c r="H38" s="113">
        <v>2342.5</v>
      </c>
    </row>
    <row r="39" spans="1:8" s="1" customFormat="1" ht="61.5" customHeight="1">
      <c r="A39" s="11" t="s">
        <v>94</v>
      </c>
      <c r="B39" s="23" t="s">
        <v>34</v>
      </c>
      <c r="C39" s="23" t="s">
        <v>25</v>
      </c>
      <c r="D39" s="23" t="s">
        <v>52</v>
      </c>
      <c r="E39" s="24" t="s">
        <v>73</v>
      </c>
      <c r="F39" s="23" t="s">
        <v>58</v>
      </c>
      <c r="G39" s="25">
        <f>130+12+55+33+13.5+1.5-6</f>
        <v>239</v>
      </c>
      <c r="H39" s="113">
        <v>208.3</v>
      </c>
    </row>
    <row r="40" spans="1:8" s="1" customFormat="1" ht="48" customHeight="1">
      <c r="A40" s="11" t="s">
        <v>271</v>
      </c>
      <c r="B40" s="23" t="s">
        <v>34</v>
      </c>
      <c r="C40" s="23" t="s">
        <v>25</v>
      </c>
      <c r="D40" s="23" t="s">
        <v>52</v>
      </c>
      <c r="E40" s="24" t="s">
        <v>73</v>
      </c>
      <c r="F40" s="23" t="s">
        <v>54</v>
      </c>
      <c r="G40" s="25">
        <v>3</v>
      </c>
      <c r="H40" s="113">
        <v>0</v>
      </c>
    </row>
    <row r="41" spans="1:8" s="1" customFormat="1" ht="36" customHeight="1">
      <c r="A41" s="11" t="s">
        <v>97</v>
      </c>
      <c r="B41" s="23" t="s">
        <v>34</v>
      </c>
      <c r="C41" s="23" t="s">
        <v>25</v>
      </c>
      <c r="D41" s="23" t="s">
        <v>52</v>
      </c>
      <c r="E41" s="24" t="s">
        <v>96</v>
      </c>
      <c r="F41" s="23"/>
      <c r="G41" s="25">
        <f>G42</f>
        <v>3110.1</v>
      </c>
      <c r="H41" s="25">
        <f>H42</f>
        <v>3046.8</v>
      </c>
    </row>
    <row r="42" spans="1:8" s="1" customFormat="1" ht="21.75" customHeight="1">
      <c r="A42" s="11" t="s">
        <v>78</v>
      </c>
      <c r="B42" s="23" t="s">
        <v>34</v>
      </c>
      <c r="C42" s="23" t="s">
        <v>25</v>
      </c>
      <c r="D42" s="23" t="s">
        <v>52</v>
      </c>
      <c r="E42" s="24" t="s">
        <v>98</v>
      </c>
      <c r="F42" s="23"/>
      <c r="G42" s="25">
        <f>G43</f>
        <v>3110.1</v>
      </c>
      <c r="H42" s="25">
        <f>H43</f>
        <v>3046.8</v>
      </c>
    </row>
    <row r="43" spans="1:8" s="88" customFormat="1" ht="90.75" customHeight="1">
      <c r="A43" s="11" t="s">
        <v>196</v>
      </c>
      <c r="B43" s="23" t="s">
        <v>34</v>
      </c>
      <c r="C43" s="23" t="s">
        <v>25</v>
      </c>
      <c r="D43" s="23" t="s">
        <v>52</v>
      </c>
      <c r="E43" s="24" t="s">
        <v>74</v>
      </c>
      <c r="F43" s="23" t="s">
        <v>55</v>
      </c>
      <c r="G43" s="25">
        <f>4210.8-63.6-1000-37.1</f>
        <v>3110.1</v>
      </c>
      <c r="H43" s="113">
        <v>3046.8</v>
      </c>
    </row>
    <row r="44" spans="1:8" s="1" customFormat="1" ht="29.25" customHeight="1">
      <c r="A44" s="11" t="s">
        <v>300</v>
      </c>
      <c r="B44" s="23" t="s">
        <v>34</v>
      </c>
      <c r="C44" s="23" t="s">
        <v>25</v>
      </c>
      <c r="D44" s="23" t="s">
        <v>52</v>
      </c>
      <c r="E44" s="24" t="s">
        <v>299</v>
      </c>
      <c r="F44" s="23"/>
      <c r="G44" s="25">
        <f>G45</f>
        <v>2066</v>
      </c>
      <c r="H44" s="25">
        <f>H45</f>
        <v>2055.9</v>
      </c>
    </row>
    <row r="45" spans="1:8" s="1" customFormat="1" ht="19.5" customHeight="1">
      <c r="A45" s="11" t="s">
        <v>78</v>
      </c>
      <c r="B45" s="23" t="s">
        <v>34</v>
      </c>
      <c r="C45" s="23" t="s">
        <v>25</v>
      </c>
      <c r="D45" s="23" t="s">
        <v>52</v>
      </c>
      <c r="E45" s="24" t="s">
        <v>298</v>
      </c>
      <c r="F45" s="23"/>
      <c r="G45" s="25">
        <f>G46+G47+G48+G49+G50+G51+G52</f>
        <v>2066</v>
      </c>
      <c r="H45" s="25">
        <f>H46+H47+H48+H49+H50+H51+H52</f>
        <v>2055.9</v>
      </c>
    </row>
    <row r="46" spans="1:8" s="1" customFormat="1" ht="144" customHeight="1">
      <c r="A46" s="11" t="s">
        <v>95</v>
      </c>
      <c r="B46" s="23" t="s">
        <v>34</v>
      </c>
      <c r="C46" s="23" t="s">
        <v>25</v>
      </c>
      <c r="D46" s="23" t="s">
        <v>52</v>
      </c>
      <c r="E46" s="24" t="s">
        <v>294</v>
      </c>
      <c r="F46" s="23" t="s">
        <v>59</v>
      </c>
      <c r="G46" s="25">
        <f>217.6+26.1</f>
        <v>243.7</v>
      </c>
      <c r="H46" s="113">
        <v>243.7</v>
      </c>
    </row>
    <row r="47" spans="1:8" s="1" customFormat="1" ht="105">
      <c r="A47" s="11" t="s">
        <v>291</v>
      </c>
      <c r="B47" s="23" t="s">
        <v>34</v>
      </c>
      <c r="C47" s="23" t="s">
        <v>25</v>
      </c>
      <c r="D47" s="23" t="s">
        <v>52</v>
      </c>
      <c r="E47" s="24" t="s">
        <v>294</v>
      </c>
      <c r="F47" s="23" t="s">
        <v>58</v>
      </c>
      <c r="G47" s="25">
        <f>68.7-29.9+3.8</f>
        <v>42.6</v>
      </c>
      <c r="H47" s="113">
        <v>41.6</v>
      </c>
    </row>
    <row r="48" spans="1:8" s="1" customFormat="1" ht="126.75" customHeight="1">
      <c r="A48" s="11" t="s">
        <v>277</v>
      </c>
      <c r="B48" s="23" t="s">
        <v>34</v>
      </c>
      <c r="C48" s="23" t="s">
        <v>25</v>
      </c>
      <c r="D48" s="23" t="s">
        <v>52</v>
      </c>
      <c r="E48" s="24" t="s">
        <v>295</v>
      </c>
      <c r="F48" s="23" t="s">
        <v>59</v>
      </c>
      <c r="G48" s="25">
        <f>275.3+14.6</f>
        <v>289.90000000000003</v>
      </c>
      <c r="H48" s="113">
        <v>289.9</v>
      </c>
    </row>
    <row r="49" spans="1:8" s="1" customFormat="1" ht="95.25" customHeight="1">
      <c r="A49" s="11" t="s">
        <v>326</v>
      </c>
      <c r="B49" s="23" t="s">
        <v>34</v>
      </c>
      <c r="C49" s="23" t="s">
        <v>25</v>
      </c>
      <c r="D49" s="23" t="s">
        <v>52</v>
      </c>
      <c r="E49" s="24" t="s">
        <v>295</v>
      </c>
      <c r="F49" s="23" t="s">
        <v>58</v>
      </c>
      <c r="G49" s="25">
        <f>62.4-15.3+0.7</f>
        <v>47.8</v>
      </c>
      <c r="H49" s="113">
        <v>44.1</v>
      </c>
    </row>
    <row r="50" spans="1:8" s="1" customFormat="1" ht="147.75" customHeight="1">
      <c r="A50" s="11" t="s">
        <v>278</v>
      </c>
      <c r="B50" s="23" t="s">
        <v>34</v>
      </c>
      <c r="C50" s="23" t="s">
        <v>25</v>
      </c>
      <c r="D50" s="23" t="s">
        <v>52</v>
      </c>
      <c r="E50" s="24" t="s">
        <v>296</v>
      </c>
      <c r="F50" s="23" t="s">
        <v>59</v>
      </c>
      <c r="G50" s="25">
        <f>630.5+24.9</f>
        <v>655.4</v>
      </c>
      <c r="H50" s="113">
        <v>652.6</v>
      </c>
    </row>
    <row r="51" spans="1:8" s="1" customFormat="1" ht="105">
      <c r="A51" s="11" t="s">
        <v>310</v>
      </c>
      <c r="B51" s="23" t="s">
        <v>34</v>
      </c>
      <c r="C51" s="23" t="s">
        <v>25</v>
      </c>
      <c r="D51" s="23" t="s">
        <v>52</v>
      </c>
      <c r="E51" s="24" t="s">
        <v>296</v>
      </c>
      <c r="F51" s="23" t="s">
        <v>58</v>
      </c>
      <c r="G51" s="25">
        <f>177.5-25.2+0.3</f>
        <v>152.60000000000002</v>
      </c>
      <c r="H51" s="113">
        <v>151.9</v>
      </c>
    </row>
    <row r="52" spans="1:8" s="1" customFormat="1" ht="45">
      <c r="A52" s="11" t="s">
        <v>292</v>
      </c>
      <c r="B52" s="23" t="s">
        <v>34</v>
      </c>
      <c r="C52" s="23" t="s">
        <v>25</v>
      </c>
      <c r="D52" s="23" t="s">
        <v>52</v>
      </c>
      <c r="E52" s="24" t="s">
        <v>302</v>
      </c>
      <c r="F52" s="23" t="s">
        <v>58</v>
      </c>
      <c r="G52" s="25">
        <f>745.9-111.9</f>
        <v>634</v>
      </c>
      <c r="H52" s="115">
        <v>632.1</v>
      </c>
    </row>
    <row r="53" spans="1:8" s="1" customFormat="1" ht="27" customHeight="1">
      <c r="A53" s="11" t="s">
        <v>90</v>
      </c>
      <c r="B53" s="23" t="s">
        <v>34</v>
      </c>
      <c r="C53" s="23" t="s">
        <v>25</v>
      </c>
      <c r="D53" s="23" t="s">
        <v>52</v>
      </c>
      <c r="E53" s="24" t="s">
        <v>87</v>
      </c>
      <c r="F53" s="23"/>
      <c r="G53" s="25">
        <f>G54</f>
        <v>10</v>
      </c>
      <c r="H53" s="25">
        <f>H54</f>
        <v>10</v>
      </c>
    </row>
    <row r="54" spans="1:8" s="1" customFormat="1" ht="15">
      <c r="A54" s="11" t="s">
        <v>78</v>
      </c>
      <c r="B54" s="23" t="s">
        <v>34</v>
      </c>
      <c r="C54" s="23" t="s">
        <v>25</v>
      </c>
      <c r="D54" s="23" t="s">
        <v>52</v>
      </c>
      <c r="E54" s="24" t="s">
        <v>92</v>
      </c>
      <c r="F54" s="23"/>
      <c r="G54" s="25">
        <f>G55</f>
        <v>10</v>
      </c>
      <c r="H54" s="25">
        <f>H55</f>
        <v>10</v>
      </c>
    </row>
    <row r="55" spans="1:8" s="1" customFormat="1" ht="45">
      <c r="A55" s="11" t="s">
        <v>397</v>
      </c>
      <c r="B55" s="23" t="s">
        <v>34</v>
      </c>
      <c r="C55" s="23" t="s">
        <v>25</v>
      </c>
      <c r="D55" s="23" t="s">
        <v>52</v>
      </c>
      <c r="E55" s="24" t="s">
        <v>396</v>
      </c>
      <c r="F55" s="23" t="s">
        <v>60</v>
      </c>
      <c r="G55" s="25">
        <v>10</v>
      </c>
      <c r="H55" s="113">
        <v>10</v>
      </c>
    </row>
    <row r="56" spans="1:8" s="1" customFormat="1" ht="28.5">
      <c r="A56" s="15" t="s">
        <v>66</v>
      </c>
      <c r="B56" s="17" t="s">
        <v>34</v>
      </c>
      <c r="C56" s="17" t="s">
        <v>28</v>
      </c>
      <c r="D56" s="17"/>
      <c r="E56" s="18"/>
      <c r="F56" s="17"/>
      <c r="G56" s="16">
        <f>G57</f>
        <v>2227.7</v>
      </c>
      <c r="H56" s="16">
        <f>H57</f>
        <v>2155.2</v>
      </c>
    </row>
    <row r="57" spans="1:8" s="1" customFormat="1" ht="30">
      <c r="A57" s="19" t="s">
        <v>126</v>
      </c>
      <c r="B57" s="20" t="s">
        <v>34</v>
      </c>
      <c r="C57" s="20" t="s">
        <v>28</v>
      </c>
      <c r="D57" s="20" t="s">
        <v>24</v>
      </c>
      <c r="E57" s="21"/>
      <c r="F57" s="20"/>
      <c r="G57" s="22">
        <f>G58+G62</f>
        <v>2227.7</v>
      </c>
      <c r="H57" s="22">
        <f>H58+H62</f>
        <v>2155.2</v>
      </c>
    </row>
    <row r="58" spans="1:8" s="1" customFormat="1" ht="30">
      <c r="A58" s="11" t="s">
        <v>86</v>
      </c>
      <c r="B58" s="23" t="s">
        <v>34</v>
      </c>
      <c r="C58" s="23" t="s">
        <v>28</v>
      </c>
      <c r="D58" s="23" t="s">
        <v>24</v>
      </c>
      <c r="E58" s="24" t="s">
        <v>82</v>
      </c>
      <c r="F58" s="17"/>
      <c r="G58" s="25">
        <f>G59</f>
        <v>1417</v>
      </c>
      <c r="H58" s="25">
        <f>H59</f>
        <v>1411.4</v>
      </c>
    </row>
    <row r="59" spans="1:8" s="1" customFormat="1" ht="15">
      <c r="A59" s="11" t="s">
        <v>78</v>
      </c>
      <c r="B59" s="23" t="s">
        <v>80</v>
      </c>
      <c r="C59" s="23" t="s">
        <v>28</v>
      </c>
      <c r="D59" s="23" t="s">
        <v>24</v>
      </c>
      <c r="E59" s="24" t="s">
        <v>83</v>
      </c>
      <c r="F59" s="17"/>
      <c r="G59" s="25">
        <f>G60+G61</f>
        <v>1417</v>
      </c>
      <c r="H59" s="25">
        <f>H60+H61</f>
        <v>1411.4</v>
      </c>
    </row>
    <row r="60" spans="1:8" s="1" customFormat="1" ht="94.5" customHeight="1">
      <c r="A60" s="11" t="s">
        <v>93</v>
      </c>
      <c r="B60" s="23" t="s">
        <v>34</v>
      </c>
      <c r="C60" s="23" t="s">
        <v>28</v>
      </c>
      <c r="D60" s="23" t="s">
        <v>24</v>
      </c>
      <c r="E60" s="24" t="s">
        <v>73</v>
      </c>
      <c r="F60" s="23" t="s">
        <v>59</v>
      </c>
      <c r="G60" s="25">
        <f>1360.9+26.1</f>
        <v>1387</v>
      </c>
      <c r="H60" s="113">
        <v>1384.5</v>
      </c>
    </row>
    <row r="61" spans="1:8" s="1" customFormat="1" ht="30">
      <c r="A61" s="11" t="s">
        <v>469</v>
      </c>
      <c r="B61" s="23" t="s">
        <v>34</v>
      </c>
      <c r="C61" s="23" t="s">
        <v>28</v>
      </c>
      <c r="D61" s="23" t="s">
        <v>24</v>
      </c>
      <c r="E61" s="24" t="s">
        <v>73</v>
      </c>
      <c r="F61" s="23" t="s">
        <v>58</v>
      </c>
      <c r="G61" s="25">
        <v>30</v>
      </c>
      <c r="H61" s="113">
        <v>26.9</v>
      </c>
    </row>
    <row r="62" spans="1:8" s="1" customFormat="1" ht="26.25" customHeight="1">
      <c r="A62" s="11" t="s">
        <v>90</v>
      </c>
      <c r="B62" s="23" t="s">
        <v>34</v>
      </c>
      <c r="C62" s="23" t="s">
        <v>28</v>
      </c>
      <c r="D62" s="23" t="s">
        <v>24</v>
      </c>
      <c r="E62" s="24" t="s">
        <v>87</v>
      </c>
      <c r="F62" s="20"/>
      <c r="G62" s="25">
        <f>G63</f>
        <v>810.6999999999999</v>
      </c>
      <c r="H62" s="25">
        <f>H63</f>
        <v>743.8</v>
      </c>
    </row>
    <row r="63" spans="1:8" s="1" customFormat="1" ht="15">
      <c r="A63" s="11" t="s">
        <v>78</v>
      </c>
      <c r="B63" s="23" t="s">
        <v>34</v>
      </c>
      <c r="C63" s="23" t="s">
        <v>28</v>
      </c>
      <c r="D63" s="23" t="s">
        <v>24</v>
      </c>
      <c r="E63" s="24" t="s">
        <v>92</v>
      </c>
      <c r="F63" s="20"/>
      <c r="G63" s="25">
        <f>SUM(G64:G66)</f>
        <v>810.6999999999999</v>
      </c>
      <c r="H63" s="25">
        <f>SUM(H64:H66)</f>
        <v>743.8</v>
      </c>
    </row>
    <row r="64" spans="1:8" s="12" customFormat="1" ht="45">
      <c r="A64" s="11" t="s">
        <v>441</v>
      </c>
      <c r="B64" s="23" t="s">
        <v>34</v>
      </c>
      <c r="C64" s="23" t="s">
        <v>28</v>
      </c>
      <c r="D64" s="23" t="s">
        <v>24</v>
      </c>
      <c r="E64" s="24" t="s">
        <v>484</v>
      </c>
      <c r="F64" s="23" t="s">
        <v>54</v>
      </c>
      <c r="G64" s="25">
        <v>20</v>
      </c>
      <c r="H64" s="113">
        <v>20</v>
      </c>
    </row>
    <row r="65" spans="1:8" s="12" customFormat="1" ht="60">
      <c r="A65" s="11" t="s">
        <v>470</v>
      </c>
      <c r="B65" s="23" t="s">
        <v>34</v>
      </c>
      <c r="C65" s="23" t="s">
        <v>28</v>
      </c>
      <c r="D65" s="23" t="s">
        <v>24</v>
      </c>
      <c r="E65" s="24" t="s">
        <v>485</v>
      </c>
      <c r="F65" s="23" t="s">
        <v>58</v>
      </c>
      <c r="G65" s="25">
        <v>66.9</v>
      </c>
      <c r="H65" s="113">
        <v>0</v>
      </c>
    </row>
    <row r="66" spans="1:8" s="1" customFormat="1" ht="60">
      <c r="A66" s="11" t="s">
        <v>440</v>
      </c>
      <c r="B66" s="23" t="s">
        <v>34</v>
      </c>
      <c r="C66" s="23" t="s">
        <v>28</v>
      </c>
      <c r="D66" s="23" t="s">
        <v>24</v>
      </c>
      <c r="E66" s="24" t="s">
        <v>435</v>
      </c>
      <c r="F66" s="23" t="s">
        <v>58</v>
      </c>
      <c r="G66" s="25">
        <v>723.8</v>
      </c>
      <c r="H66" s="113">
        <v>723.8</v>
      </c>
    </row>
    <row r="67" spans="1:8" s="1" customFormat="1" ht="14.25">
      <c r="A67" s="15" t="s">
        <v>3</v>
      </c>
      <c r="B67" s="17" t="s">
        <v>34</v>
      </c>
      <c r="C67" s="17" t="s">
        <v>26</v>
      </c>
      <c r="D67" s="17"/>
      <c r="E67" s="18"/>
      <c r="F67" s="17"/>
      <c r="G67" s="16">
        <f>G72+G77+G86+G92+G68</f>
        <v>15204.539999999999</v>
      </c>
      <c r="H67" s="16">
        <f>H72+H77+H86+H92+H68</f>
        <v>10755.84</v>
      </c>
    </row>
    <row r="68" spans="1:8" s="2" customFormat="1" ht="15">
      <c r="A68" s="19" t="s">
        <v>371</v>
      </c>
      <c r="B68" s="20" t="s">
        <v>34</v>
      </c>
      <c r="C68" s="20" t="s">
        <v>26</v>
      </c>
      <c r="D68" s="20" t="s">
        <v>25</v>
      </c>
      <c r="E68" s="21"/>
      <c r="F68" s="20"/>
      <c r="G68" s="22">
        <f aca="true" t="shared" si="0" ref="G68:H70">G69</f>
        <v>32.4</v>
      </c>
      <c r="H68" s="22">
        <f t="shared" si="0"/>
        <v>32.4</v>
      </c>
    </row>
    <row r="69" spans="1:8" s="1" customFormat="1" ht="19.5" customHeight="1">
      <c r="A69" s="11" t="s">
        <v>90</v>
      </c>
      <c r="B69" s="23" t="s">
        <v>34</v>
      </c>
      <c r="C69" s="23" t="s">
        <v>26</v>
      </c>
      <c r="D69" s="23" t="s">
        <v>25</v>
      </c>
      <c r="E69" s="24" t="s">
        <v>87</v>
      </c>
      <c r="F69" s="17"/>
      <c r="G69" s="25">
        <f t="shared" si="0"/>
        <v>32.4</v>
      </c>
      <c r="H69" s="25">
        <f t="shared" si="0"/>
        <v>32.4</v>
      </c>
    </row>
    <row r="70" spans="1:8" s="1" customFormat="1" ht="15">
      <c r="A70" s="11" t="s">
        <v>78</v>
      </c>
      <c r="B70" s="23" t="s">
        <v>34</v>
      </c>
      <c r="C70" s="23" t="s">
        <v>26</v>
      </c>
      <c r="D70" s="23" t="s">
        <v>25</v>
      </c>
      <c r="E70" s="24" t="s">
        <v>92</v>
      </c>
      <c r="F70" s="17"/>
      <c r="G70" s="25">
        <f t="shared" si="0"/>
        <v>32.4</v>
      </c>
      <c r="H70" s="25">
        <f t="shared" si="0"/>
        <v>32.4</v>
      </c>
    </row>
    <row r="71" spans="1:8" s="12" customFormat="1" ht="45">
      <c r="A71" s="11" t="s">
        <v>373</v>
      </c>
      <c r="B71" s="23" t="s">
        <v>34</v>
      </c>
      <c r="C71" s="23" t="s">
        <v>26</v>
      </c>
      <c r="D71" s="23" t="s">
        <v>25</v>
      </c>
      <c r="E71" s="24" t="s">
        <v>372</v>
      </c>
      <c r="F71" s="23" t="s">
        <v>55</v>
      </c>
      <c r="G71" s="25">
        <v>32.4</v>
      </c>
      <c r="H71" s="25">
        <v>32.4</v>
      </c>
    </row>
    <row r="72" spans="1:8" s="2" customFormat="1" ht="15">
      <c r="A72" s="19" t="s">
        <v>67</v>
      </c>
      <c r="B72" s="20" t="s">
        <v>34</v>
      </c>
      <c r="C72" s="20" t="s">
        <v>26</v>
      </c>
      <c r="D72" s="20" t="s">
        <v>33</v>
      </c>
      <c r="E72" s="21"/>
      <c r="F72" s="20"/>
      <c r="G72" s="22">
        <f>G73</f>
        <v>1070.1</v>
      </c>
      <c r="H72" s="22">
        <f>H73</f>
        <v>1064.3000000000002</v>
      </c>
    </row>
    <row r="73" spans="1:8" s="2" customFormat="1" ht="30">
      <c r="A73" s="11" t="s">
        <v>86</v>
      </c>
      <c r="B73" s="23" t="s">
        <v>34</v>
      </c>
      <c r="C73" s="23" t="s">
        <v>26</v>
      </c>
      <c r="D73" s="23" t="s">
        <v>33</v>
      </c>
      <c r="E73" s="24" t="s">
        <v>82</v>
      </c>
      <c r="F73" s="17"/>
      <c r="G73" s="25">
        <f>G74</f>
        <v>1070.1</v>
      </c>
      <c r="H73" s="25">
        <f>H74</f>
        <v>1064.3000000000002</v>
      </c>
    </row>
    <row r="74" spans="1:8" s="2" customFormat="1" ht="15">
      <c r="A74" s="11" t="s">
        <v>78</v>
      </c>
      <c r="B74" s="23" t="s">
        <v>80</v>
      </c>
      <c r="C74" s="23" t="s">
        <v>26</v>
      </c>
      <c r="D74" s="23" t="s">
        <v>33</v>
      </c>
      <c r="E74" s="24" t="s">
        <v>83</v>
      </c>
      <c r="F74" s="17"/>
      <c r="G74" s="25">
        <f>G75+G76</f>
        <v>1070.1</v>
      </c>
      <c r="H74" s="25">
        <f>H75+H76</f>
        <v>1064.3000000000002</v>
      </c>
    </row>
    <row r="75" spans="1:8" s="1" customFormat="1" ht="92.25" customHeight="1">
      <c r="A75" s="11" t="s">
        <v>93</v>
      </c>
      <c r="B75" s="23" t="s">
        <v>34</v>
      </c>
      <c r="C75" s="23" t="s">
        <v>26</v>
      </c>
      <c r="D75" s="23" t="s">
        <v>33</v>
      </c>
      <c r="E75" s="24" t="s">
        <v>73</v>
      </c>
      <c r="F75" s="23" t="s">
        <v>59</v>
      </c>
      <c r="G75" s="25">
        <f>1084.3-32.2</f>
        <v>1052.1</v>
      </c>
      <c r="H75" s="113">
        <v>1050.4</v>
      </c>
    </row>
    <row r="76" spans="1:8" s="1" customFormat="1" ht="60">
      <c r="A76" s="11" t="s">
        <v>94</v>
      </c>
      <c r="B76" s="23" t="s">
        <v>34</v>
      </c>
      <c r="C76" s="23" t="s">
        <v>26</v>
      </c>
      <c r="D76" s="23" t="s">
        <v>33</v>
      </c>
      <c r="E76" s="24" t="s">
        <v>73</v>
      </c>
      <c r="F76" s="23" t="s">
        <v>58</v>
      </c>
      <c r="G76" s="25">
        <v>18</v>
      </c>
      <c r="H76" s="113">
        <v>13.9</v>
      </c>
    </row>
    <row r="77" spans="1:8" s="2" customFormat="1" ht="15">
      <c r="A77" s="19" t="s">
        <v>62</v>
      </c>
      <c r="B77" s="20" t="s">
        <v>34</v>
      </c>
      <c r="C77" s="20" t="s">
        <v>26</v>
      </c>
      <c r="D77" s="20" t="s">
        <v>31</v>
      </c>
      <c r="E77" s="21"/>
      <c r="F77" s="20"/>
      <c r="G77" s="22">
        <f>G78+G82</f>
        <v>3028.94</v>
      </c>
      <c r="H77" s="22">
        <f>H78+H82</f>
        <v>3028.7400000000002</v>
      </c>
    </row>
    <row r="78" spans="1:8" s="2" customFormat="1" ht="25.5" customHeight="1">
      <c r="A78" s="11" t="s">
        <v>90</v>
      </c>
      <c r="B78" s="23" t="s">
        <v>34</v>
      </c>
      <c r="C78" s="23" t="s">
        <v>26</v>
      </c>
      <c r="D78" s="23" t="s">
        <v>31</v>
      </c>
      <c r="E78" s="24" t="s">
        <v>87</v>
      </c>
      <c r="F78" s="20"/>
      <c r="G78" s="67">
        <f>G79</f>
        <v>2945.4</v>
      </c>
      <c r="H78" s="67">
        <f>H79</f>
        <v>2945.2000000000003</v>
      </c>
    </row>
    <row r="79" spans="1:8" s="2" customFormat="1" ht="15">
      <c r="A79" s="11" t="s">
        <v>78</v>
      </c>
      <c r="B79" s="23" t="s">
        <v>34</v>
      </c>
      <c r="C79" s="23" t="s">
        <v>26</v>
      </c>
      <c r="D79" s="23" t="s">
        <v>31</v>
      </c>
      <c r="E79" s="24" t="s">
        <v>92</v>
      </c>
      <c r="F79" s="20"/>
      <c r="G79" s="67">
        <f>G80+G81</f>
        <v>2945.4</v>
      </c>
      <c r="H79" s="67">
        <f>H80+H81</f>
        <v>2945.2000000000003</v>
      </c>
    </row>
    <row r="80" spans="1:8" s="1" customFormat="1" ht="57.75" customHeight="1">
      <c r="A80" s="11" t="s">
        <v>108</v>
      </c>
      <c r="B80" s="23" t="s">
        <v>34</v>
      </c>
      <c r="C80" s="23" t="s">
        <v>26</v>
      </c>
      <c r="D80" s="23" t="s">
        <v>31</v>
      </c>
      <c r="E80" s="24" t="s">
        <v>107</v>
      </c>
      <c r="F80" s="23" t="s">
        <v>54</v>
      </c>
      <c r="G80" s="25">
        <f>2963-274.5+0.1+232</f>
        <v>2920.6</v>
      </c>
      <c r="H80" s="113">
        <v>2920.4</v>
      </c>
    </row>
    <row r="81" spans="1:8" s="1" customFormat="1" ht="61.5" customHeight="1">
      <c r="A81" s="11" t="s">
        <v>449</v>
      </c>
      <c r="B81" s="23" t="s">
        <v>34</v>
      </c>
      <c r="C81" s="23" t="s">
        <v>26</v>
      </c>
      <c r="D81" s="23" t="s">
        <v>31</v>
      </c>
      <c r="E81" s="24" t="s">
        <v>448</v>
      </c>
      <c r="F81" s="23" t="s">
        <v>58</v>
      </c>
      <c r="G81" s="25">
        <v>24.8</v>
      </c>
      <c r="H81" s="113">
        <v>24.8</v>
      </c>
    </row>
    <row r="82" spans="1:8" s="1" customFormat="1" ht="30.75" customHeight="1">
      <c r="A82" s="98" t="s">
        <v>454</v>
      </c>
      <c r="B82" s="23" t="s">
        <v>34</v>
      </c>
      <c r="C82" s="23" t="s">
        <v>26</v>
      </c>
      <c r="D82" s="23" t="s">
        <v>31</v>
      </c>
      <c r="E82" s="24" t="s">
        <v>458</v>
      </c>
      <c r="F82" s="23"/>
      <c r="G82" s="25">
        <f>G83</f>
        <v>83.53999999999999</v>
      </c>
      <c r="H82" s="25">
        <f>H83</f>
        <v>83.53999999999999</v>
      </c>
    </row>
    <row r="83" spans="1:8" s="1" customFormat="1" ht="48.75" customHeight="1">
      <c r="A83" s="98" t="s">
        <v>455</v>
      </c>
      <c r="B83" s="23" t="s">
        <v>34</v>
      </c>
      <c r="C83" s="23" t="s">
        <v>26</v>
      </c>
      <c r="D83" s="23" t="s">
        <v>31</v>
      </c>
      <c r="E83" s="24" t="s">
        <v>459</v>
      </c>
      <c r="F83" s="23"/>
      <c r="G83" s="25">
        <f>G84+G85</f>
        <v>83.53999999999999</v>
      </c>
      <c r="H83" s="25">
        <f>H84+H85</f>
        <v>83.53999999999999</v>
      </c>
    </row>
    <row r="84" spans="1:8" s="1" customFormat="1" ht="67.5" customHeight="1">
      <c r="A84" s="98" t="s">
        <v>457</v>
      </c>
      <c r="B84" s="23" t="s">
        <v>34</v>
      </c>
      <c r="C84" s="23" t="s">
        <v>26</v>
      </c>
      <c r="D84" s="23" t="s">
        <v>31</v>
      </c>
      <c r="E84" s="99" t="s">
        <v>460</v>
      </c>
      <c r="F84" s="23" t="s">
        <v>58</v>
      </c>
      <c r="G84" s="25">
        <f>58.48</f>
        <v>58.48</v>
      </c>
      <c r="H84" s="113">
        <v>58.48</v>
      </c>
    </row>
    <row r="85" spans="1:8" s="1" customFormat="1" ht="60.75" customHeight="1">
      <c r="A85" s="98" t="s">
        <v>456</v>
      </c>
      <c r="B85" s="23" t="s">
        <v>34</v>
      </c>
      <c r="C85" s="23" t="s">
        <v>26</v>
      </c>
      <c r="D85" s="23" t="s">
        <v>31</v>
      </c>
      <c r="E85" s="99" t="s">
        <v>461</v>
      </c>
      <c r="F85" s="23" t="s">
        <v>58</v>
      </c>
      <c r="G85" s="25">
        <f>25.06</f>
        <v>25.06</v>
      </c>
      <c r="H85" s="113">
        <v>25.06</v>
      </c>
    </row>
    <row r="86" spans="1:8" s="58" customFormat="1" ht="15">
      <c r="A86" s="19" t="s">
        <v>61</v>
      </c>
      <c r="B86" s="20" t="s">
        <v>34</v>
      </c>
      <c r="C86" s="20" t="s">
        <v>26</v>
      </c>
      <c r="D86" s="20" t="s">
        <v>24</v>
      </c>
      <c r="E86" s="21"/>
      <c r="F86" s="20"/>
      <c r="G86" s="22">
        <f>G87</f>
        <v>10744.4</v>
      </c>
      <c r="H86" s="22">
        <f>H87</f>
        <v>6331</v>
      </c>
    </row>
    <row r="87" spans="1:8" s="58" customFormat="1" ht="45">
      <c r="A87" s="11" t="s">
        <v>423</v>
      </c>
      <c r="B87" s="32" t="s">
        <v>34</v>
      </c>
      <c r="C87" s="32" t="s">
        <v>26</v>
      </c>
      <c r="D87" s="32" t="s">
        <v>24</v>
      </c>
      <c r="E87" s="24" t="s">
        <v>303</v>
      </c>
      <c r="F87" s="23" t="s">
        <v>424</v>
      </c>
      <c r="G87" s="22">
        <f>G88</f>
        <v>10744.4</v>
      </c>
      <c r="H87" s="22">
        <f>H88</f>
        <v>6331</v>
      </c>
    </row>
    <row r="88" spans="1:8" s="58" customFormat="1" ht="15">
      <c r="A88" s="11" t="s">
        <v>425</v>
      </c>
      <c r="B88" s="32" t="s">
        <v>34</v>
      </c>
      <c r="C88" s="32" t="s">
        <v>26</v>
      </c>
      <c r="D88" s="32" t="s">
        <v>24</v>
      </c>
      <c r="E88" s="24" t="s">
        <v>426</v>
      </c>
      <c r="F88" s="23" t="s">
        <v>424</v>
      </c>
      <c r="G88" s="22">
        <f>G91+G89+G90</f>
        <v>10744.4</v>
      </c>
      <c r="H88" s="22">
        <f>H91+H89+H90</f>
        <v>6331</v>
      </c>
    </row>
    <row r="89" spans="1:8" s="58" customFormat="1" ht="60">
      <c r="A89" s="11" t="s">
        <v>431</v>
      </c>
      <c r="B89" s="32" t="s">
        <v>34</v>
      </c>
      <c r="C89" s="32" t="s">
        <v>26</v>
      </c>
      <c r="D89" s="32" t="s">
        <v>24</v>
      </c>
      <c r="E89" s="24" t="s">
        <v>428</v>
      </c>
      <c r="F89" s="23" t="s">
        <v>58</v>
      </c>
      <c r="G89" s="25">
        <f>8252.9+1840.8</f>
        <v>10093.699999999999</v>
      </c>
      <c r="H89" s="25">
        <v>5680.3</v>
      </c>
    </row>
    <row r="90" spans="1:8" s="58" customFormat="1" ht="60">
      <c r="A90" s="11" t="s">
        <v>436</v>
      </c>
      <c r="B90" s="32" t="s">
        <v>34</v>
      </c>
      <c r="C90" s="32" t="s">
        <v>26</v>
      </c>
      <c r="D90" s="32" t="s">
        <v>24</v>
      </c>
      <c r="E90" s="24" t="s">
        <v>437</v>
      </c>
      <c r="F90" s="23" t="s">
        <v>58</v>
      </c>
      <c r="G90" s="25">
        <v>650</v>
      </c>
      <c r="H90" s="25">
        <v>650</v>
      </c>
    </row>
    <row r="91" spans="1:8" s="58" customFormat="1" ht="60">
      <c r="A91" s="11" t="s">
        <v>429</v>
      </c>
      <c r="B91" s="32" t="s">
        <v>34</v>
      </c>
      <c r="C91" s="32" t="s">
        <v>26</v>
      </c>
      <c r="D91" s="32" t="s">
        <v>24</v>
      </c>
      <c r="E91" s="24" t="s">
        <v>430</v>
      </c>
      <c r="F91" s="23" t="s">
        <v>58</v>
      </c>
      <c r="G91" s="25">
        <v>0.7</v>
      </c>
      <c r="H91" s="25">
        <v>0.7</v>
      </c>
    </row>
    <row r="92" spans="1:8" s="1" customFormat="1" ht="20.25" customHeight="1">
      <c r="A92" s="19" t="s">
        <v>304</v>
      </c>
      <c r="B92" s="20" t="s">
        <v>34</v>
      </c>
      <c r="C92" s="20" t="s">
        <v>26</v>
      </c>
      <c r="D92" s="20" t="s">
        <v>303</v>
      </c>
      <c r="E92" s="21"/>
      <c r="F92" s="20"/>
      <c r="G92" s="22">
        <f>G93+G97</f>
        <v>328.7</v>
      </c>
      <c r="H92" s="22">
        <f>H93+H97</f>
        <v>299.4</v>
      </c>
    </row>
    <row r="93" spans="1:8" s="1" customFormat="1" ht="27" customHeight="1">
      <c r="A93" s="11" t="s">
        <v>300</v>
      </c>
      <c r="B93" s="23" t="s">
        <v>34</v>
      </c>
      <c r="C93" s="23" t="s">
        <v>26</v>
      </c>
      <c r="D93" s="23" t="s">
        <v>303</v>
      </c>
      <c r="E93" s="24" t="s">
        <v>299</v>
      </c>
      <c r="F93" s="23"/>
      <c r="G93" s="25">
        <f>G94</f>
        <v>45</v>
      </c>
      <c r="H93" s="25">
        <f>H94</f>
        <v>45</v>
      </c>
    </row>
    <row r="94" spans="1:8" s="1" customFormat="1" ht="20.25" customHeight="1">
      <c r="A94" s="11" t="s">
        <v>301</v>
      </c>
      <c r="B94" s="23" t="s">
        <v>34</v>
      </c>
      <c r="C94" s="23" t="s">
        <v>26</v>
      </c>
      <c r="D94" s="23" t="s">
        <v>303</v>
      </c>
      <c r="E94" s="24" t="s">
        <v>298</v>
      </c>
      <c r="F94" s="23"/>
      <c r="G94" s="25">
        <f>G95+G96</f>
        <v>45</v>
      </c>
      <c r="H94" s="25">
        <f>H95+H96</f>
        <v>45</v>
      </c>
    </row>
    <row r="95" spans="1:8" s="1" customFormat="1" ht="90.75" customHeight="1">
      <c r="A95" s="11" t="s">
        <v>311</v>
      </c>
      <c r="B95" s="23" t="s">
        <v>34</v>
      </c>
      <c r="C95" s="23" t="s">
        <v>26</v>
      </c>
      <c r="D95" s="23" t="s">
        <v>303</v>
      </c>
      <c r="E95" s="24" t="s">
        <v>305</v>
      </c>
      <c r="F95" s="23" t="s">
        <v>58</v>
      </c>
      <c r="G95" s="25">
        <v>19.6</v>
      </c>
      <c r="H95" s="113">
        <v>19.6</v>
      </c>
    </row>
    <row r="96" spans="1:8" s="1" customFormat="1" ht="48.75" customHeight="1">
      <c r="A96" s="68" t="s">
        <v>446</v>
      </c>
      <c r="B96" s="23" t="s">
        <v>34</v>
      </c>
      <c r="C96" s="23" t="s">
        <v>26</v>
      </c>
      <c r="D96" s="23" t="s">
        <v>303</v>
      </c>
      <c r="E96" s="24" t="s">
        <v>445</v>
      </c>
      <c r="F96" s="23" t="s">
        <v>58</v>
      </c>
      <c r="G96" s="25">
        <v>25.4</v>
      </c>
      <c r="H96" s="113">
        <v>25.4</v>
      </c>
    </row>
    <row r="97" spans="1:8" s="1" customFormat="1" ht="23.25" customHeight="1">
      <c r="A97" s="11" t="s">
        <v>90</v>
      </c>
      <c r="B97" s="23" t="s">
        <v>34</v>
      </c>
      <c r="C97" s="23" t="s">
        <v>26</v>
      </c>
      <c r="D97" s="23" t="s">
        <v>303</v>
      </c>
      <c r="E97" s="24" t="s">
        <v>87</v>
      </c>
      <c r="F97" s="17"/>
      <c r="G97" s="25">
        <f>G98</f>
        <v>283.7</v>
      </c>
      <c r="H97" s="25">
        <f>H98</f>
        <v>254.4</v>
      </c>
    </row>
    <row r="98" spans="1:8" s="1" customFormat="1" ht="18.75" customHeight="1">
      <c r="A98" s="11" t="s">
        <v>78</v>
      </c>
      <c r="B98" s="23" t="s">
        <v>34</v>
      </c>
      <c r="C98" s="23" t="s">
        <v>26</v>
      </c>
      <c r="D98" s="23" t="s">
        <v>303</v>
      </c>
      <c r="E98" s="24" t="s">
        <v>92</v>
      </c>
      <c r="F98" s="17"/>
      <c r="G98" s="25">
        <f>G99</f>
        <v>283.7</v>
      </c>
      <c r="H98" s="25">
        <f>H99</f>
        <v>254.4</v>
      </c>
    </row>
    <row r="99" spans="1:8" s="1" customFormat="1" ht="57" customHeight="1">
      <c r="A99" s="68" t="s">
        <v>447</v>
      </c>
      <c r="B99" s="23" t="s">
        <v>34</v>
      </c>
      <c r="C99" s="23" t="s">
        <v>26</v>
      </c>
      <c r="D99" s="23" t="s">
        <v>303</v>
      </c>
      <c r="E99" s="24" t="s">
        <v>444</v>
      </c>
      <c r="F99" s="23" t="s">
        <v>58</v>
      </c>
      <c r="G99" s="25">
        <f>143.7+100+40</f>
        <v>283.7</v>
      </c>
      <c r="H99" s="113">
        <v>254.4</v>
      </c>
    </row>
    <row r="100" spans="1:8" s="1" customFormat="1" ht="14.25" customHeight="1">
      <c r="A100" s="15" t="s">
        <v>70</v>
      </c>
      <c r="B100" s="17" t="s">
        <v>34</v>
      </c>
      <c r="C100" s="17" t="s">
        <v>33</v>
      </c>
      <c r="D100" s="23"/>
      <c r="E100" s="24"/>
      <c r="F100" s="23"/>
      <c r="G100" s="16">
        <f>G101+G106</f>
        <v>601.8</v>
      </c>
      <c r="H100" s="16">
        <f>H101+H106</f>
        <v>597.4000000000001</v>
      </c>
    </row>
    <row r="101" spans="1:8" s="2" customFormat="1" ht="16.5" customHeight="1">
      <c r="A101" s="19" t="s">
        <v>69</v>
      </c>
      <c r="B101" s="20" t="s">
        <v>34</v>
      </c>
      <c r="C101" s="20" t="s">
        <v>33</v>
      </c>
      <c r="D101" s="20" t="s">
        <v>25</v>
      </c>
      <c r="E101" s="21"/>
      <c r="F101" s="20"/>
      <c r="G101" s="22">
        <f>G102</f>
        <v>144</v>
      </c>
      <c r="H101" s="22">
        <f>H102</f>
        <v>139.8</v>
      </c>
    </row>
    <row r="102" spans="1:8" s="1" customFormat="1" ht="19.5" customHeight="1">
      <c r="A102" s="11" t="s">
        <v>90</v>
      </c>
      <c r="B102" s="23" t="s">
        <v>34</v>
      </c>
      <c r="C102" s="23" t="s">
        <v>33</v>
      </c>
      <c r="D102" s="23" t="s">
        <v>25</v>
      </c>
      <c r="E102" s="24" t="s">
        <v>87</v>
      </c>
      <c r="F102" s="17"/>
      <c r="G102" s="25">
        <f>G103</f>
        <v>144</v>
      </c>
      <c r="H102" s="25">
        <f>H103</f>
        <v>139.8</v>
      </c>
    </row>
    <row r="103" spans="1:8" s="1" customFormat="1" ht="16.5" customHeight="1">
      <c r="A103" s="11" t="s">
        <v>78</v>
      </c>
      <c r="B103" s="23" t="s">
        <v>34</v>
      </c>
      <c r="C103" s="23" t="s">
        <v>33</v>
      </c>
      <c r="D103" s="23" t="s">
        <v>25</v>
      </c>
      <c r="E103" s="24" t="s">
        <v>92</v>
      </c>
      <c r="F103" s="17"/>
      <c r="G103" s="25">
        <f>G105+G104</f>
        <v>144</v>
      </c>
      <c r="H103" s="25">
        <f>H105+H104</f>
        <v>139.8</v>
      </c>
    </row>
    <row r="104" spans="1:8" s="1" customFormat="1" ht="29.25" customHeight="1">
      <c r="A104" s="11" t="s">
        <v>377</v>
      </c>
      <c r="B104" s="23" t="s">
        <v>34</v>
      </c>
      <c r="C104" s="23" t="s">
        <v>33</v>
      </c>
      <c r="D104" s="23" t="s">
        <v>25</v>
      </c>
      <c r="E104" s="24" t="s">
        <v>127</v>
      </c>
      <c r="F104" s="23" t="s">
        <v>58</v>
      </c>
      <c r="G104" s="25">
        <v>16</v>
      </c>
      <c r="H104" s="25">
        <v>12.3</v>
      </c>
    </row>
    <row r="105" spans="1:8" s="1" customFormat="1" ht="33" customHeight="1">
      <c r="A105" s="11" t="s">
        <v>110</v>
      </c>
      <c r="B105" s="23" t="s">
        <v>34</v>
      </c>
      <c r="C105" s="23" t="s">
        <v>33</v>
      </c>
      <c r="D105" s="23" t="s">
        <v>25</v>
      </c>
      <c r="E105" s="24" t="s">
        <v>127</v>
      </c>
      <c r="F105" s="23" t="s">
        <v>54</v>
      </c>
      <c r="G105" s="25">
        <v>128</v>
      </c>
      <c r="H105" s="113">
        <v>127.5</v>
      </c>
    </row>
    <row r="106" spans="1:8" s="2" customFormat="1" ht="18" customHeight="1">
      <c r="A106" s="19" t="s">
        <v>68</v>
      </c>
      <c r="B106" s="20" t="s">
        <v>34</v>
      </c>
      <c r="C106" s="20" t="s">
        <v>33</v>
      </c>
      <c r="D106" s="20" t="s">
        <v>29</v>
      </c>
      <c r="E106" s="21"/>
      <c r="F106" s="20"/>
      <c r="G106" s="22">
        <f>G107+G111</f>
        <v>457.79999999999995</v>
      </c>
      <c r="H106" s="22">
        <f>H107+H111</f>
        <v>457.6</v>
      </c>
    </row>
    <row r="107" spans="1:8" s="2" customFormat="1" ht="21.75" customHeight="1">
      <c r="A107" s="11" t="s">
        <v>90</v>
      </c>
      <c r="B107" s="23" t="s">
        <v>34</v>
      </c>
      <c r="C107" s="23" t="s">
        <v>33</v>
      </c>
      <c r="D107" s="23" t="s">
        <v>29</v>
      </c>
      <c r="E107" s="24" t="s">
        <v>87</v>
      </c>
      <c r="F107" s="20"/>
      <c r="G107" s="25">
        <f>G108</f>
        <v>299.59999999999997</v>
      </c>
      <c r="H107" s="25">
        <f>H108</f>
        <v>299.40000000000003</v>
      </c>
    </row>
    <row r="108" spans="1:8" s="2" customFormat="1" ht="18" customHeight="1">
      <c r="A108" s="11" t="s">
        <v>78</v>
      </c>
      <c r="B108" s="23" t="s">
        <v>34</v>
      </c>
      <c r="C108" s="23" t="s">
        <v>33</v>
      </c>
      <c r="D108" s="23" t="s">
        <v>29</v>
      </c>
      <c r="E108" s="24" t="s">
        <v>92</v>
      </c>
      <c r="F108" s="20"/>
      <c r="G108" s="25">
        <f>G110+G109</f>
        <v>299.59999999999997</v>
      </c>
      <c r="H108" s="25">
        <f>H110+H109</f>
        <v>299.40000000000003</v>
      </c>
    </row>
    <row r="109" spans="1:8" s="2" customFormat="1" ht="47.25" customHeight="1">
      <c r="A109" s="11" t="s">
        <v>404</v>
      </c>
      <c r="B109" s="23" t="s">
        <v>34</v>
      </c>
      <c r="C109" s="23" t="s">
        <v>33</v>
      </c>
      <c r="D109" s="23" t="s">
        <v>29</v>
      </c>
      <c r="E109" s="24" t="s">
        <v>128</v>
      </c>
      <c r="F109" s="23" t="s">
        <v>58</v>
      </c>
      <c r="G109" s="25">
        <f>90+16.3+81+20+29+58.9-0.1</f>
        <v>295.09999999999997</v>
      </c>
      <c r="H109" s="25">
        <v>295.1</v>
      </c>
    </row>
    <row r="110" spans="1:8" s="1" customFormat="1" ht="31.5" customHeight="1">
      <c r="A110" s="11" t="s">
        <v>111</v>
      </c>
      <c r="B110" s="23" t="s">
        <v>34</v>
      </c>
      <c r="C110" s="23" t="s">
        <v>33</v>
      </c>
      <c r="D110" s="23" t="s">
        <v>29</v>
      </c>
      <c r="E110" s="24" t="s">
        <v>128</v>
      </c>
      <c r="F110" s="23" t="s">
        <v>54</v>
      </c>
      <c r="G110" s="25">
        <f>17.2-12.7</f>
        <v>4.5</v>
      </c>
      <c r="H110" s="113">
        <v>4.3</v>
      </c>
    </row>
    <row r="111" spans="1:8" s="1" customFormat="1" ht="31.5" customHeight="1">
      <c r="A111" s="11" t="s">
        <v>332</v>
      </c>
      <c r="B111" s="23" t="s">
        <v>34</v>
      </c>
      <c r="C111" s="23" t="s">
        <v>33</v>
      </c>
      <c r="D111" s="23" t="s">
        <v>29</v>
      </c>
      <c r="E111" s="24" t="s">
        <v>30</v>
      </c>
      <c r="F111" s="23"/>
      <c r="G111" s="25">
        <f>G115+G112</f>
        <v>158.2</v>
      </c>
      <c r="H111" s="25">
        <f>H115+H112</f>
        <v>158.2</v>
      </c>
    </row>
    <row r="112" spans="1:8" s="1" customFormat="1" ht="31.5" customHeight="1">
      <c r="A112" s="11" t="s">
        <v>405</v>
      </c>
      <c r="B112" s="23" t="s">
        <v>34</v>
      </c>
      <c r="C112" s="23" t="s">
        <v>33</v>
      </c>
      <c r="D112" s="23" t="s">
        <v>29</v>
      </c>
      <c r="E112" s="24" t="s">
        <v>413</v>
      </c>
      <c r="F112" s="23"/>
      <c r="G112" s="25">
        <f>G113</f>
        <v>59.2</v>
      </c>
      <c r="H112" s="25">
        <f>H113</f>
        <v>59.2</v>
      </c>
    </row>
    <row r="113" spans="1:8" s="1" customFormat="1" ht="59.25" customHeight="1">
      <c r="A113" s="11" t="s">
        <v>408</v>
      </c>
      <c r="B113" s="23" t="s">
        <v>34</v>
      </c>
      <c r="C113" s="23" t="s">
        <v>33</v>
      </c>
      <c r="D113" s="23" t="s">
        <v>29</v>
      </c>
      <c r="E113" s="24" t="s">
        <v>414</v>
      </c>
      <c r="F113" s="23"/>
      <c r="G113" s="25">
        <f>G114</f>
        <v>59.2</v>
      </c>
      <c r="H113" s="25">
        <f>H114</f>
        <v>59.2</v>
      </c>
    </row>
    <row r="114" spans="1:8" s="1" customFormat="1" ht="31.5" customHeight="1">
      <c r="A114" s="11" t="s">
        <v>409</v>
      </c>
      <c r="B114" s="23" t="s">
        <v>34</v>
      </c>
      <c r="C114" s="23" t="s">
        <v>33</v>
      </c>
      <c r="D114" s="23" t="s">
        <v>29</v>
      </c>
      <c r="E114" s="24" t="s">
        <v>415</v>
      </c>
      <c r="F114" s="23" t="s">
        <v>400</v>
      </c>
      <c r="G114" s="25">
        <v>59.2</v>
      </c>
      <c r="H114" s="114">
        <v>59.2</v>
      </c>
    </row>
    <row r="115" spans="1:8" s="1" customFormat="1" ht="45.75" customHeight="1">
      <c r="A115" s="11" t="s">
        <v>411</v>
      </c>
      <c r="B115" s="23" t="s">
        <v>34</v>
      </c>
      <c r="C115" s="23" t="s">
        <v>33</v>
      </c>
      <c r="D115" s="23" t="s">
        <v>29</v>
      </c>
      <c r="E115" s="24" t="s">
        <v>416</v>
      </c>
      <c r="F115" s="23"/>
      <c r="G115" s="25">
        <f>G116</f>
        <v>99</v>
      </c>
      <c r="H115" s="25">
        <f>H116</f>
        <v>99</v>
      </c>
    </row>
    <row r="116" spans="1:8" s="1" customFormat="1" ht="75" customHeight="1">
      <c r="A116" s="11" t="s">
        <v>412</v>
      </c>
      <c r="B116" s="23" t="s">
        <v>34</v>
      </c>
      <c r="C116" s="23" t="s">
        <v>33</v>
      </c>
      <c r="D116" s="23" t="s">
        <v>29</v>
      </c>
      <c r="E116" s="24" t="s">
        <v>410</v>
      </c>
      <c r="F116" s="23"/>
      <c r="G116" s="25">
        <f>G117</f>
        <v>99</v>
      </c>
      <c r="H116" s="25">
        <f>H117</f>
        <v>99</v>
      </c>
    </row>
    <row r="117" spans="1:8" s="1" customFormat="1" ht="31.5" customHeight="1">
      <c r="A117" s="11" t="s">
        <v>409</v>
      </c>
      <c r="B117" s="23" t="s">
        <v>34</v>
      </c>
      <c r="C117" s="23" t="s">
        <v>33</v>
      </c>
      <c r="D117" s="23" t="s">
        <v>29</v>
      </c>
      <c r="E117" s="24" t="s">
        <v>417</v>
      </c>
      <c r="F117" s="23" t="s">
        <v>400</v>
      </c>
      <c r="G117" s="25">
        <v>99</v>
      </c>
      <c r="H117" s="114">
        <v>99</v>
      </c>
    </row>
    <row r="118" spans="1:8" s="1" customFormat="1" ht="21.75" customHeight="1">
      <c r="A118" s="14" t="s">
        <v>4</v>
      </c>
      <c r="B118" s="23" t="s">
        <v>34</v>
      </c>
      <c r="C118" s="36" t="s">
        <v>24</v>
      </c>
      <c r="D118" s="36"/>
      <c r="E118" s="37"/>
      <c r="F118" s="36"/>
      <c r="G118" s="16">
        <f>G119+G131</f>
        <v>4379.400000000001</v>
      </c>
      <c r="H118" s="16">
        <f>H119+H131</f>
        <v>4377.900000000001</v>
      </c>
    </row>
    <row r="119" spans="1:8" s="1" customFormat="1" ht="24.75" customHeight="1">
      <c r="A119" s="38" t="s">
        <v>41</v>
      </c>
      <c r="B119" s="30" t="s">
        <v>34</v>
      </c>
      <c r="C119" s="39" t="s">
        <v>24</v>
      </c>
      <c r="D119" s="39" t="s">
        <v>25</v>
      </c>
      <c r="E119" s="40"/>
      <c r="F119" s="39"/>
      <c r="G119" s="22">
        <f>G120</f>
        <v>4359.400000000001</v>
      </c>
      <c r="H119" s="22">
        <f>H120</f>
        <v>4357.900000000001</v>
      </c>
    </row>
    <row r="120" spans="1:8" s="1" customFormat="1" ht="31.5" customHeight="1">
      <c r="A120" s="41" t="s">
        <v>331</v>
      </c>
      <c r="B120" s="23" t="s">
        <v>34</v>
      </c>
      <c r="C120" s="23" t="s">
        <v>24</v>
      </c>
      <c r="D120" s="23" t="s">
        <v>25</v>
      </c>
      <c r="E120" s="42" t="s">
        <v>33</v>
      </c>
      <c r="F120" s="32"/>
      <c r="G120" s="25">
        <f>G121+G125+G128</f>
        <v>4359.400000000001</v>
      </c>
      <c r="H120" s="25">
        <f>H121+H125+H128</f>
        <v>4357.900000000001</v>
      </c>
    </row>
    <row r="121" spans="1:8" s="2" customFormat="1" ht="37.5" customHeight="1">
      <c r="A121" s="41" t="s">
        <v>112</v>
      </c>
      <c r="B121" s="23" t="s">
        <v>34</v>
      </c>
      <c r="C121" s="23" t="s">
        <v>24</v>
      </c>
      <c r="D121" s="23" t="s">
        <v>25</v>
      </c>
      <c r="E121" s="42" t="s">
        <v>114</v>
      </c>
      <c r="F121" s="32"/>
      <c r="G121" s="25">
        <f>G122</f>
        <v>1898.4</v>
      </c>
      <c r="H121" s="25">
        <f>H122</f>
        <v>1896.9</v>
      </c>
    </row>
    <row r="122" spans="1:8" s="2" customFormat="1" ht="70.5" customHeight="1">
      <c r="A122" s="41" t="s">
        <v>297</v>
      </c>
      <c r="B122" s="23" t="s">
        <v>34</v>
      </c>
      <c r="C122" s="23" t="s">
        <v>24</v>
      </c>
      <c r="D122" s="23" t="s">
        <v>25</v>
      </c>
      <c r="E122" s="42" t="s">
        <v>115</v>
      </c>
      <c r="F122" s="32"/>
      <c r="G122" s="25">
        <f>G123+G124</f>
        <v>1898.4</v>
      </c>
      <c r="H122" s="25">
        <f>H123+H124</f>
        <v>1896.9</v>
      </c>
    </row>
    <row r="123" spans="1:8" s="1" customFormat="1" ht="62.25" customHeight="1">
      <c r="A123" s="11" t="s">
        <v>75</v>
      </c>
      <c r="B123" s="23" t="s">
        <v>34</v>
      </c>
      <c r="C123" s="23" t="s">
        <v>24</v>
      </c>
      <c r="D123" s="23" t="s">
        <v>25</v>
      </c>
      <c r="E123" s="24" t="s">
        <v>113</v>
      </c>
      <c r="F123" s="23" t="s">
        <v>55</v>
      </c>
      <c r="G123" s="25">
        <f>609.3+200+632.8+28.9</f>
        <v>1471</v>
      </c>
      <c r="H123" s="113">
        <v>1469.5</v>
      </c>
    </row>
    <row r="124" spans="1:8" s="1" customFormat="1" ht="94.5" customHeight="1">
      <c r="A124" s="11" t="s">
        <v>120</v>
      </c>
      <c r="B124" s="23" t="s">
        <v>34</v>
      </c>
      <c r="C124" s="23" t="s">
        <v>24</v>
      </c>
      <c r="D124" s="23" t="s">
        <v>25</v>
      </c>
      <c r="E124" s="24" t="s">
        <v>330</v>
      </c>
      <c r="F124" s="23" t="s">
        <v>55</v>
      </c>
      <c r="G124" s="25">
        <f>886.9-459.5</f>
        <v>427.4</v>
      </c>
      <c r="H124" s="113">
        <v>427.4</v>
      </c>
    </row>
    <row r="125" spans="1:8" s="1" customFormat="1" ht="35.25" customHeight="1">
      <c r="A125" s="11" t="s">
        <v>116</v>
      </c>
      <c r="B125" s="23" t="s">
        <v>34</v>
      </c>
      <c r="C125" s="23" t="s">
        <v>24</v>
      </c>
      <c r="D125" s="23" t="s">
        <v>25</v>
      </c>
      <c r="E125" s="24" t="s">
        <v>117</v>
      </c>
      <c r="F125" s="23"/>
      <c r="G125" s="25">
        <f>G126</f>
        <v>1197.2</v>
      </c>
      <c r="H125" s="25">
        <f>H126</f>
        <v>1197.2</v>
      </c>
    </row>
    <row r="126" spans="1:8" s="1" customFormat="1" ht="49.5" customHeight="1">
      <c r="A126" s="11" t="s">
        <v>118</v>
      </c>
      <c r="B126" s="23" t="s">
        <v>34</v>
      </c>
      <c r="C126" s="23" t="s">
        <v>24</v>
      </c>
      <c r="D126" s="23" t="s">
        <v>25</v>
      </c>
      <c r="E126" s="24" t="s">
        <v>119</v>
      </c>
      <c r="F126" s="23"/>
      <c r="G126" s="25">
        <f>G127</f>
        <v>1197.2</v>
      </c>
      <c r="H126" s="25">
        <f>H127</f>
        <v>1197.2</v>
      </c>
    </row>
    <row r="127" spans="1:8" s="1" customFormat="1" ht="109.5" customHeight="1">
      <c r="A127" s="41" t="s">
        <v>76</v>
      </c>
      <c r="B127" s="23" t="s">
        <v>34</v>
      </c>
      <c r="C127" s="32" t="s">
        <v>24</v>
      </c>
      <c r="D127" s="32" t="s">
        <v>25</v>
      </c>
      <c r="E127" s="42" t="s">
        <v>121</v>
      </c>
      <c r="F127" s="32" t="s">
        <v>55</v>
      </c>
      <c r="G127" s="25">
        <v>1197.2</v>
      </c>
      <c r="H127" s="113">
        <v>1197.2</v>
      </c>
    </row>
    <row r="128" spans="1:8" s="1" customFormat="1" ht="15">
      <c r="A128" s="41" t="s">
        <v>122</v>
      </c>
      <c r="B128" s="23" t="s">
        <v>34</v>
      </c>
      <c r="C128" s="32" t="s">
        <v>24</v>
      </c>
      <c r="D128" s="32" t="s">
        <v>25</v>
      </c>
      <c r="E128" s="42" t="s">
        <v>123</v>
      </c>
      <c r="F128" s="32"/>
      <c r="G128" s="25">
        <f>G129</f>
        <v>1263.8</v>
      </c>
      <c r="H128" s="25">
        <f>H129</f>
        <v>1263.8</v>
      </c>
    </row>
    <row r="129" spans="1:8" s="1" customFormat="1" ht="30">
      <c r="A129" s="41" t="s">
        <v>124</v>
      </c>
      <c r="B129" s="23" t="s">
        <v>34</v>
      </c>
      <c r="C129" s="32" t="s">
        <v>24</v>
      </c>
      <c r="D129" s="32" t="s">
        <v>25</v>
      </c>
      <c r="E129" s="42" t="s">
        <v>125</v>
      </c>
      <c r="F129" s="32"/>
      <c r="G129" s="25">
        <f>G130</f>
        <v>1263.8</v>
      </c>
      <c r="H129" s="25">
        <f>H130</f>
        <v>1263.8</v>
      </c>
    </row>
    <row r="130" spans="1:8" s="1" customFormat="1" ht="90">
      <c r="A130" s="41" t="s">
        <v>77</v>
      </c>
      <c r="B130" s="23" t="s">
        <v>34</v>
      </c>
      <c r="C130" s="32" t="s">
        <v>24</v>
      </c>
      <c r="D130" s="32" t="s">
        <v>25</v>
      </c>
      <c r="E130" s="42" t="s">
        <v>273</v>
      </c>
      <c r="F130" s="32" t="s">
        <v>55</v>
      </c>
      <c r="G130" s="25">
        <v>1263.8</v>
      </c>
      <c r="H130" s="113">
        <v>1263.8</v>
      </c>
    </row>
    <row r="131" spans="1:8" s="1" customFormat="1" ht="45">
      <c r="A131" s="11" t="s">
        <v>334</v>
      </c>
      <c r="B131" s="23" t="s">
        <v>34</v>
      </c>
      <c r="C131" s="23" t="s">
        <v>24</v>
      </c>
      <c r="D131" s="23" t="s">
        <v>25</v>
      </c>
      <c r="E131" s="24" t="s">
        <v>24</v>
      </c>
      <c r="F131" s="23"/>
      <c r="G131" s="25">
        <f>G132</f>
        <v>20</v>
      </c>
      <c r="H131" s="25">
        <f>H132</f>
        <v>20</v>
      </c>
    </row>
    <row r="132" spans="1:8" s="1" customFormat="1" ht="30">
      <c r="A132" s="11" t="s">
        <v>464</v>
      </c>
      <c r="B132" s="23" t="s">
        <v>34</v>
      </c>
      <c r="C132" s="23" t="s">
        <v>24</v>
      </c>
      <c r="D132" s="23" t="s">
        <v>25</v>
      </c>
      <c r="E132" s="24" t="s">
        <v>210</v>
      </c>
      <c r="F132" s="23"/>
      <c r="G132" s="25">
        <f>G133</f>
        <v>20</v>
      </c>
      <c r="H132" s="25">
        <f>H133</f>
        <v>20</v>
      </c>
    </row>
    <row r="133" spans="1:8" s="1" customFormat="1" ht="75">
      <c r="A133" s="11" t="s">
        <v>463</v>
      </c>
      <c r="B133" s="23" t="s">
        <v>34</v>
      </c>
      <c r="C133" s="23" t="s">
        <v>24</v>
      </c>
      <c r="D133" s="23" t="s">
        <v>25</v>
      </c>
      <c r="E133" s="24" t="s">
        <v>104</v>
      </c>
      <c r="F133" s="23" t="s">
        <v>55</v>
      </c>
      <c r="G133" s="25">
        <v>20</v>
      </c>
      <c r="H133" s="113">
        <v>20</v>
      </c>
    </row>
    <row r="134" spans="1:8" s="1" customFormat="1" ht="14.25">
      <c r="A134" s="14" t="s">
        <v>5</v>
      </c>
      <c r="B134" s="17" t="s">
        <v>34</v>
      </c>
      <c r="C134" s="36" t="s">
        <v>27</v>
      </c>
      <c r="D134" s="36"/>
      <c r="E134" s="37"/>
      <c r="F134" s="36"/>
      <c r="G134" s="16">
        <f aca="true" t="shared" si="1" ref="G134:H137">G135</f>
        <v>1600</v>
      </c>
      <c r="H134" s="16">
        <f t="shared" si="1"/>
        <v>1600</v>
      </c>
    </row>
    <row r="135" spans="1:8" s="90" customFormat="1" ht="15">
      <c r="A135" s="38" t="s">
        <v>17</v>
      </c>
      <c r="B135" s="20" t="s">
        <v>34</v>
      </c>
      <c r="C135" s="39" t="s">
        <v>27</v>
      </c>
      <c r="D135" s="39" t="s">
        <v>28</v>
      </c>
      <c r="E135" s="40"/>
      <c r="F135" s="39"/>
      <c r="G135" s="22">
        <f t="shared" si="1"/>
        <v>1600</v>
      </c>
      <c r="H135" s="22">
        <f t="shared" si="1"/>
        <v>1600</v>
      </c>
    </row>
    <row r="136" spans="1:8" s="1" customFormat="1" ht="23.25" customHeight="1">
      <c r="A136" s="11" t="s">
        <v>90</v>
      </c>
      <c r="B136" s="23" t="s">
        <v>34</v>
      </c>
      <c r="C136" s="23" t="s">
        <v>27</v>
      </c>
      <c r="D136" s="23" t="s">
        <v>28</v>
      </c>
      <c r="E136" s="24" t="s">
        <v>87</v>
      </c>
      <c r="F136" s="32"/>
      <c r="G136" s="25">
        <f t="shared" si="1"/>
        <v>1600</v>
      </c>
      <c r="H136" s="25">
        <f t="shared" si="1"/>
        <v>1600</v>
      </c>
    </row>
    <row r="137" spans="1:8" s="1" customFormat="1" ht="15">
      <c r="A137" s="11" t="s">
        <v>78</v>
      </c>
      <c r="B137" s="23" t="s">
        <v>34</v>
      </c>
      <c r="C137" s="23" t="s">
        <v>27</v>
      </c>
      <c r="D137" s="23" t="s">
        <v>28</v>
      </c>
      <c r="E137" s="24" t="s">
        <v>92</v>
      </c>
      <c r="F137" s="32"/>
      <c r="G137" s="25">
        <f t="shared" si="1"/>
        <v>1600</v>
      </c>
      <c r="H137" s="25">
        <f t="shared" si="1"/>
        <v>1600</v>
      </c>
    </row>
    <row r="138" spans="1:8" s="1" customFormat="1" ht="60">
      <c r="A138" s="41" t="s">
        <v>439</v>
      </c>
      <c r="B138" s="23" t="s">
        <v>34</v>
      </c>
      <c r="C138" s="32" t="s">
        <v>27</v>
      </c>
      <c r="D138" s="32" t="s">
        <v>28</v>
      </c>
      <c r="E138" s="42" t="s">
        <v>438</v>
      </c>
      <c r="F138" s="32" t="s">
        <v>60</v>
      </c>
      <c r="G138" s="25">
        <v>1600</v>
      </c>
      <c r="H138" s="113">
        <v>1600</v>
      </c>
    </row>
    <row r="139" spans="1:8" s="1" customFormat="1" ht="58.5" customHeight="1">
      <c r="A139" s="47" t="s">
        <v>346</v>
      </c>
      <c r="B139" s="81">
        <v>353</v>
      </c>
      <c r="C139" s="10"/>
      <c r="D139" s="10"/>
      <c r="E139" s="11"/>
      <c r="F139" s="10"/>
      <c r="G139" s="83">
        <f>G140+G162+G193+G200+G151</f>
        <v>29014.500000000004</v>
      </c>
      <c r="H139" s="83">
        <f>H140+H162+H193+H200+H151</f>
        <v>28549.299999999996</v>
      </c>
    </row>
    <row r="140" spans="1:8" s="1" customFormat="1" ht="14.25">
      <c r="A140" s="15" t="s">
        <v>63</v>
      </c>
      <c r="B140" s="36" t="s">
        <v>35</v>
      </c>
      <c r="C140" s="17" t="s">
        <v>25</v>
      </c>
      <c r="D140" s="17"/>
      <c r="E140" s="18"/>
      <c r="F140" s="17"/>
      <c r="G140" s="16">
        <f>G141+G146</f>
        <v>617.1</v>
      </c>
      <c r="H140" s="16">
        <f>H141+H146</f>
        <v>574.3</v>
      </c>
    </row>
    <row r="141" spans="1:8" s="2" customFormat="1" ht="49.5" customHeight="1">
      <c r="A141" s="19" t="s">
        <v>40</v>
      </c>
      <c r="B141" s="39" t="s">
        <v>35</v>
      </c>
      <c r="C141" s="20" t="s">
        <v>25</v>
      </c>
      <c r="D141" s="20" t="s">
        <v>26</v>
      </c>
      <c r="E141" s="21"/>
      <c r="F141" s="20"/>
      <c r="G141" s="22">
        <f>G145</f>
        <v>214</v>
      </c>
      <c r="H141" s="22">
        <f>H145</f>
        <v>187.1</v>
      </c>
    </row>
    <row r="142" spans="1:8" s="2" customFormat="1" ht="30">
      <c r="A142" s="11" t="s">
        <v>140</v>
      </c>
      <c r="B142" s="69" t="s">
        <v>35</v>
      </c>
      <c r="C142" s="23" t="s">
        <v>25</v>
      </c>
      <c r="D142" s="23" t="s">
        <v>26</v>
      </c>
      <c r="E142" s="24" t="s">
        <v>26</v>
      </c>
      <c r="F142" s="23"/>
      <c r="G142" s="25">
        <f>G143</f>
        <v>214</v>
      </c>
      <c r="H142" s="25">
        <f>H143</f>
        <v>187.1</v>
      </c>
    </row>
    <row r="143" spans="1:8" s="12" customFormat="1" ht="30">
      <c r="A143" s="11" t="s">
        <v>343</v>
      </c>
      <c r="B143" s="32" t="s">
        <v>35</v>
      </c>
      <c r="C143" s="23" t="s">
        <v>25</v>
      </c>
      <c r="D143" s="23" t="s">
        <v>26</v>
      </c>
      <c r="E143" s="24" t="s">
        <v>141</v>
      </c>
      <c r="F143" s="23"/>
      <c r="G143" s="25">
        <f>G145</f>
        <v>214</v>
      </c>
      <c r="H143" s="25">
        <f>H145</f>
        <v>187.1</v>
      </c>
    </row>
    <row r="144" spans="1:8" s="12" customFormat="1" ht="30">
      <c r="A144" s="11" t="s">
        <v>340</v>
      </c>
      <c r="B144" s="32" t="s">
        <v>35</v>
      </c>
      <c r="C144" s="23" t="s">
        <v>25</v>
      </c>
      <c r="D144" s="23" t="s">
        <v>26</v>
      </c>
      <c r="E144" s="24" t="s">
        <v>341</v>
      </c>
      <c r="F144" s="23"/>
      <c r="G144" s="25">
        <f>G145</f>
        <v>214</v>
      </c>
      <c r="H144" s="25">
        <f>H145</f>
        <v>187.1</v>
      </c>
    </row>
    <row r="145" spans="1:8" s="1" customFormat="1" ht="93.75" customHeight="1">
      <c r="A145" s="11" t="s">
        <v>89</v>
      </c>
      <c r="B145" s="32" t="s">
        <v>35</v>
      </c>
      <c r="C145" s="32" t="s">
        <v>25</v>
      </c>
      <c r="D145" s="32" t="s">
        <v>26</v>
      </c>
      <c r="E145" s="24" t="s">
        <v>342</v>
      </c>
      <c r="F145" s="23" t="s">
        <v>59</v>
      </c>
      <c r="G145" s="25">
        <v>214</v>
      </c>
      <c r="H145" s="113">
        <v>187.1</v>
      </c>
    </row>
    <row r="146" spans="1:8" s="2" customFormat="1" ht="15">
      <c r="A146" s="19" t="s">
        <v>13</v>
      </c>
      <c r="B146" s="39" t="s">
        <v>35</v>
      </c>
      <c r="C146" s="20" t="s">
        <v>25</v>
      </c>
      <c r="D146" s="20" t="s">
        <v>52</v>
      </c>
      <c r="E146" s="21"/>
      <c r="F146" s="20"/>
      <c r="G146" s="22">
        <f>G150</f>
        <v>403.1</v>
      </c>
      <c r="H146" s="22">
        <f>H150</f>
        <v>387.2</v>
      </c>
    </row>
    <row r="147" spans="1:8" s="1" customFormat="1" ht="30">
      <c r="A147" s="11" t="s">
        <v>140</v>
      </c>
      <c r="B147" s="32" t="s">
        <v>35</v>
      </c>
      <c r="C147" s="23" t="s">
        <v>25</v>
      </c>
      <c r="D147" s="23" t="s">
        <v>52</v>
      </c>
      <c r="E147" s="24" t="s">
        <v>26</v>
      </c>
      <c r="F147" s="23"/>
      <c r="G147" s="25">
        <f>G148</f>
        <v>403.1</v>
      </c>
      <c r="H147" s="25">
        <f>H148</f>
        <v>387.2</v>
      </c>
    </row>
    <row r="148" spans="1:8" s="1" customFormat="1" ht="30">
      <c r="A148" s="11" t="s">
        <v>343</v>
      </c>
      <c r="B148" s="32" t="s">
        <v>35</v>
      </c>
      <c r="C148" s="23" t="s">
        <v>25</v>
      </c>
      <c r="D148" s="23" t="s">
        <v>52</v>
      </c>
      <c r="E148" s="24" t="s">
        <v>141</v>
      </c>
      <c r="F148" s="23"/>
      <c r="G148" s="25">
        <f>G150</f>
        <v>403.1</v>
      </c>
      <c r="H148" s="25">
        <f>H150</f>
        <v>387.2</v>
      </c>
    </row>
    <row r="149" spans="1:8" s="1" customFormat="1" ht="30">
      <c r="A149" s="11" t="s">
        <v>340</v>
      </c>
      <c r="B149" s="32" t="s">
        <v>35</v>
      </c>
      <c r="C149" s="23" t="s">
        <v>25</v>
      </c>
      <c r="D149" s="23" t="s">
        <v>52</v>
      </c>
      <c r="E149" s="24" t="s">
        <v>341</v>
      </c>
      <c r="F149" s="23"/>
      <c r="G149" s="25">
        <f>G150</f>
        <v>403.1</v>
      </c>
      <c r="H149" s="25">
        <f>H150</f>
        <v>387.2</v>
      </c>
    </row>
    <row r="150" spans="1:8" s="1" customFormat="1" ht="90">
      <c r="A150" s="11" t="s">
        <v>89</v>
      </c>
      <c r="B150" s="32" t="s">
        <v>35</v>
      </c>
      <c r="C150" s="32" t="s">
        <v>25</v>
      </c>
      <c r="D150" s="32" t="s">
        <v>52</v>
      </c>
      <c r="E150" s="24" t="s">
        <v>342</v>
      </c>
      <c r="F150" s="23" t="s">
        <v>59</v>
      </c>
      <c r="G150" s="25">
        <v>403.1</v>
      </c>
      <c r="H150" s="113">
        <v>387.2</v>
      </c>
    </row>
    <row r="151" spans="1:8" s="1" customFormat="1" ht="15">
      <c r="A151" s="14" t="s">
        <v>1</v>
      </c>
      <c r="B151" s="32" t="s">
        <v>35</v>
      </c>
      <c r="C151" s="36" t="s">
        <v>32</v>
      </c>
      <c r="D151" s="36"/>
      <c r="E151" s="37"/>
      <c r="F151" s="36"/>
      <c r="G151" s="16">
        <f>G152</f>
        <v>12326.7</v>
      </c>
      <c r="H151" s="16">
        <f>H152</f>
        <v>12185.6</v>
      </c>
    </row>
    <row r="152" spans="1:8" s="1" customFormat="1" ht="15">
      <c r="A152" s="38" t="s">
        <v>14</v>
      </c>
      <c r="B152" s="32" t="s">
        <v>35</v>
      </c>
      <c r="C152" s="39" t="s">
        <v>32</v>
      </c>
      <c r="D152" s="39" t="s">
        <v>29</v>
      </c>
      <c r="E152" s="70"/>
      <c r="F152" s="69"/>
      <c r="G152" s="22">
        <f>SUM(G156:G161)</f>
        <v>12326.7</v>
      </c>
      <c r="H152" s="22">
        <f>SUM(H156:H161)</f>
        <v>12185.6</v>
      </c>
    </row>
    <row r="153" spans="1:8" s="1" customFormat="1" ht="15">
      <c r="A153" s="41" t="s">
        <v>129</v>
      </c>
      <c r="B153" s="32" t="s">
        <v>35</v>
      </c>
      <c r="C153" s="32" t="s">
        <v>32</v>
      </c>
      <c r="D153" s="32" t="s">
        <v>29</v>
      </c>
      <c r="E153" s="42" t="s">
        <v>28</v>
      </c>
      <c r="F153" s="32"/>
      <c r="G153" s="25">
        <f>G154</f>
        <v>12326.7</v>
      </c>
      <c r="H153" s="25">
        <f>H154</f>
        <v>12185.6</v>
      </c>
    </row>
    <row r="154" spans="1:8" s="1" customFormat="1" ht="60">
      <c r="A154" s="41" t="s">
        <v>130</v>
      </c>
      <c r="B154" s="32" t="s">
        <v>35</v>
      </c>
      <c r="C154" s="32" t="s">
        <v>32</v>
      </c>
      <c r="D154" s="32" t="s">
        <v>29</v>
      </c>
      <c r="E154" s="42" t="s">
        <v>131</v>
      </c>
      <c r="F154" s="32"/>
      <c r="G154" s="25">
        <f>G155</f>
        <v>12326.7</v>
      </c>
      <c r="H154" s="25">
        <f>H155</f>
        <v>12185.6</v>
      </c>
    </row>
    <row r="155" spans="1:8" s="1" customFormat="1" ht="30">
      <c r="A155" s="41" t="s">
        <v>132</v>
      </c>
      <c r="B155" s="32" t="s">
        <v>35</v>
      </c>
      <c r="C155" s="32" t="s">
        <v>32</v>
      </c>
      <c r="D155" s="32" t="s">
        <v>29</v>
      </c>
      <c r="E155" s="42" t="s">
        <v>133</v>
      </c>
      <c r="F155" s="32"/>
      <c r="G155" s="25">
        <f>SUM(G156:G161)</f>
        <v>12326.7</v>
      </c>
      <c r="H155" s="25">
        <f>SUM(H156:H161)</f>
        <v>12185.6</v>
      </c>
    </row>
    <row r="156" spans="1:8" s="1" customFormat="1" ht="135">
      <c r="A156" s="11" t="s">
        <v>134</v>
      </c>
      <c r="B156" s="32" t="s">
        <v>35</v>
      </c>
      <c r="C156" s="23" t="s">
        <v>32</v>
      </c>
      <c r="D156" s="23" t="s">
        <v>29</v>
      </c>
      <c r="E156" s="42" t="s">
        <v>135</v>
      </c>
      <c r="F156" s="32" t="s">
        <v>59</v>
      </c>
      <c r="G156" s="25">
        <f>148.4-46.4</f>
        <v>102</v>
      </c>
      <c r="H156" s="113">
        <v>102</v>
      </c>
    </row>
    <row r="157" spans="1:8" s="1" customFormat="1" ht="91.5" customHeight="1">
      <c r="A157" s="11" t="s">
        <v>177</v>
      </c>
      <c r="B157" s="32" t="s">
        <v>35</v>
      </c>
      <c r="C157" s="23" t="s">
        <v>32</v>
      </c>
      <c r="D157" s="23" t="s">
        <v>29</v>
      </c>
      <c r="E157" s="24" t="s">
        <v>136</v>
      </c>
      <c r="F157" s="23" t="s">
        <v>59</v>
      </c>
      <c r="G157" s="25">
        <f>9788.4+80.7</f>
        <v>9869.1</v>
      </c>
      <c r="H157" s="113">
        <v>9869</v>
      </c>
    </row>
    <row r="158" spans="1:8" s="1" customFormat="1" ht="45">
      <c r="A158" s="11" t="s">
        <v>178</v>
      </c>
      <c r="B158" s="32" t="s">
        <v>35</v>
      </c>
      <c r="C158" s="23" t="s">
        <v>32</v>
      </c>
      <c r="D158" s="23" t="s">
        <v>29</v>
      </c>
      <c r="E158" s="24" t="s">
        <v>137</v>
      </c>
      <c r="F158" s="23" t="s">
        <v>58</v>
      </c>
      <c r="G158" s="25">
        <f>1770.1+56.9+173.1-75.3</f>
        <v>1924.8</v>
      </c>
      <c r="H158" s="113">
        <v>1924.6</v>
      </c>
    </row>
    <row r="159" spans="1:8" s="1" customFormat="1" ht="45">
      <c r="A159" s="11" t="s">
        <v>179</v>
      </c>
      <c r="B159" s="32" t="s">
        <v>35</v>
      </c>
      <c r="C159" s="23" t="s">
        <v>32</v>
      </c>
      <c r="D159" s="23" t="s">
        <v>29</v>
      </c>
      <c r="E159" s="24" t="s">
        <v>137</v>
      </c>
      <c r="F159" s="23" t="s">
        <v>54</v>
      </c>
      <c r="G159" s="25">
        <f>78.6-5.4</f>
        <v>73.19999999999999</v>
      </c>
      <c r="H159" s="113">
        <v>73.2</v>
      </c>
    </row>
    <row r="160" spans="1:8" s="1" customFormat="1" ht="105">
      <c r="A160" s="11" t="s">
        <v>180</v>
      </c>
      <c r="B160" s="32" t="s">
        <v>35</v>
      </c>
      <c r="C160" s="23" t="s">
        <v>32</v>
      </c>
      <c r="D160" s="23" t="s">
        <v>29</v>
      </c>
      <c r="E160" s="24" t="s">
        <v>138</v>
      </c>
      <c r="F160" s="23" t="s">
        <v>59</v>
      </c>
      <c r="G160" s="25">
        <v>88</v>
      </c>
      <c r="H160" s="113">
        <v>20.8</v>
      </c>
    </row>
    <row r="161" spans="1:8" s="1" customFormat="1" ht="75">
      <c r="A161" s="11" t="s">
        <v>312</v>
      </c>
      <c r="B161" s="32" t="s">
        <v>35</v>
      </c>
      <c r="C161" s="32" t="s">
        <v>32</v>
      </c>
      <c r="D161" s="32" t="s">
        <v>29</v>
      </c>
      <c r="E161" s="24" t="s">
        <v>139</v>
      </c>
      <c r="F161" s="23" t="s">
        <v>58</v>
      </c>
      <c r="G161" s="25">
        <f>262+7.6</f>
        <v>269.6</v>
      </c>
      <c r="H161" s="113">
        <v>196</v>
      </c>
    </row>
    <row r="162" spans="1:8" s="1" customFormat="1" ht="14.25">
      <c r="A162" s="15" t="s">
        <v>7</v>
      </c>
      <c r="B162" s="36" t="s">
        <v>35</v>
      </c>
      <c r="C162" s="17" t="s">
        <v>31</v>
      </c>
      <c r="D162" s="17"/>
      <c r="E162" s="18"/>
      <c r="F162" s="17"/>
      <c r="G162" s="16">
        <f>G163+G188</f>
        <v>8562.2</v>
      </c>
      <c r="H162" s="16">
        <f>H163+H188</f>
        <v>8308.699999999999</v>
      </c>
    </row>
    <row r="163" spans="1:8" s="2" customFormat="1" ht="15">
      <c r="A163" s="19" t="s">
        <v>16</v>
      </c>
      <c r="B163" s="39" t="s">
        <v>35</v>
      </c>
      <c r="C163" s="20" t="s">
        <v>31</v>
      </c>
      <c r="D163" s="20" t="s">
        <v>25</v>
      </c>
      <c r="E163" s="21"/>
      <c r="F163" s="20"/>
      <c r="G163" s="22">
        <f>G164+G179+G185</f>
        <v>8272.900000000001</v>
      </c>
      <c r="H163" s="22">
        <f>H164+H179+H185</f>
        <v>8019.399999999999</v>
      </c>
    </row>
    <row r="164" spans="1:8" s="2" customFormat="1" ht="30">
      <c r="A164" s="11" t="s">
        <v>140</v>
      </c>
      <c r="B164" s="32" t="s">
        <v>35</v>
      </c>
      <c r="C164" s="23" t="s">
        <v>31</v>
      </c>
      <c r="D164" s="23" t="s">
        <v>25</v>
      </c>
      <c r="E164" s="24" t="s">
        <v>26</v>
      </c>
      <c r="F164" s="23"/>
      <c r="G164" s="25">
        <f>G165+G169+G172</f>
        <v>7332.000000000001</v>
      </c>
      <c r="H164" s="25">
        <f>H165+H169+H172</f>
        <v>7083.499999999999</v>
      </c>
    </row>
    <row r="165" spans="1:8" s="2" customFormat="1" ht="15">
      <c r="A165" s="11" t="s">
        <v>149</v>
      </c>
      <c r="B165" s="32" t="s">
        <v>35</v>
      </c>
      <c r="C165" s="23" t="s">
        <v>31</v>
      </c>
      <c r="D165" s="23" t="s">
        <v>25</v>
      </c>
      <c r="E165" s="24" t="s">
        <v>150</v>
      </c>
      <c r="F165" s="23"/>
      <c r="G165" s="25">
        <f>G166</f>
        <v>57.1</v>
      </c>
      <c r="H165" s="25">
        <f>H166</f>
        <v>56.9</v>
      </c>
    </row>
    <row r="166" spans="1:8" s="2" customFormat="1" ht="30">
      <c r="A166" s="11" t="s">
        <v>280</v>
      </c>
      <c r="B166" s="32" t="s">
        <v>35</v>
      </c>
      <c r="C166" s="23" t="s">
        <v>31</v>
      </c>
      <c r="D166" s="23" t="s">
        <v>25</v>
      </c>
      <c r="E166" s="24" t="s">
        <v>151</v>
      </c>
      <c r="F166" s="23"/>
      <c r="G166" s="25">
        <f>G167+G168</f>
        <v>57.1</v>
      </c>
      <c r="H166" s="25">
        <f>H167+H168</f>
        <v>56.9</v>
      </c>
    </row>
    <row r="167" spans="1:8" s="2" customFormat="1" ht="45">
      <c r="A167" s="11" t="s">
        <v>313</v>
      </c>
      <c r="B167" s="32" t="s">
        <v>35</v>
      </c>
      <c r="C167" s="23" t="s">
        <v>31</v>
      </c>
      <c r="D167" s="23" t="s">
        <v>25</v>
      </c>
      <c r="E167" s="24" t="s">
        <v>152</v>
      </c>
      <c r="F167" s="23" t="s">
        <v>58</v>
      </c>
      <c r="G167" s="25">
        <v>50</v>
      </c>
      <c r="H167" s="114">
        <v>49.8</v>
      </c>
    </row>
    <row r="168" spans="1:8" s="2" customFormat="1" ht="45">
      <c r="A168" s="11" t="s">
        <v>472</v>
      </c>
      <c r="B168" s="32" t="s">
        <v>35</v>
      </c>
      <c r="C168" s="23" t="s">
        <v>31</v>
      </c>
      <c r="D168" s="23" t="s">
        <v>25</v>
      </c>
      <c r="E168" s="24" t="s">
        <v>471</v>
      </c>
      <c r="F168" s="23" t="s">
        <v>58</v>
      </c>
      <c r="G168" s="25">
        <v>7.1</v>
      </c>
      <c r="H168" s="114">
        <v>7.1</v>
      </c>
    </row>
    <row r="169" spans="1:8" s="12" customFormat="1" ht="30">
      <c r="A169" s="11" t="s">
        <v>142</v>
      </c>
      <c r="B169" s="32" t="s">
        <v>35</v>
      </c>
      <c r="C169" s="23" t="s">
        <v>31</v>
      </c>
      <c r="D169" s="23" t="s">
        <v>25</v>
      </c>
      <c r="E169" s="24" t="s">
        <v>143</v>
      </c>
      <c r="F169" s="23"/>
      <c r="G169" s="25">
        <f>G170</f>
        <v>172.4</v>
      </c>
      <c r="H169" s="25">
        <f>H170</f>
        <v>169.5</v>
      </c>
    </row>
    <row r="170" spans="1:8" s="12" customFormat="1" ht="30">
      <c r="A170" s="11" t="s">
        <v>144</v>
      </c>
      <c r="B170" s="32" t="s">
        <v>35</v>
      </c>
      <c r="C170" s="23" t="s">
        <v>31</v>
      </c>
      <c r="D170" s="23" t="s">
        <v>25</v>
      </c>
      <c r="E170" s="24" t="s">
        <v>145</v>
      </c>
      <c r="F170" s="23"/>
      <c r="G170" s="25">
        <f>G171</f>
        <v>172.4</v>
      </c>
      <c r="H170" s="25">
        <f>H171</f>
        <v>169.5</v>
      </c>
    </row>
    <row r="171" spans="1:8" s="1" customFormat="1" ht="42.75" customHeight="1">
      <c r="A171" s="11" t="s">
        <v>313</v>
      </c>
      <c r="B171" s="32" t="s">
        <v>35</v>
      </c>
      <c r="C171" s="23" t="s">
        <v>31</v>
      </c>
      <c r="D171" s="23" t="s">
        <v>25</v>
      </c>
      <c r="E171" s="24" t="s">
        <v>146</v>
      </c>
      <c r="F171" s="23" t="s">
        <v>58</v>
      </c>
      <c r="G171" s="25">
        <f>100+72.4</f>
        <v>172.4</v>
      </c>
      <c r="H171" s="113">
        <v>169.5</v>
      </c>
    </row>
    <row r="172" spans="1:8" s="1" customFormat="1" ht="30" customHeight="1">
      <c r="A172" s="11" t="s">
        <v>343</v>
      </c>
      <c r="B172" s="32" t="s">
        <v>35</v>
      </c>
      <c r="C172" s="23" t="s">
        <v>31</v>
      </c>
      <c r="D172" s="23" t="s">
        <v>25</v>
      </c>
      <c r="E172" s="24" t="s">
        <v>147</v>
      </c>
      <c r="F172" s="23"/>
      <c r="G172" s="25">
        <f>G174+G175+G176+G177+G178</f>
        <v>7102.500000000001</v>
      </c>
      <c r="H172" s="25">
        <f>H174+H175+H176+H177+H178</f>
        <v>6857.099999999999</v>
      </c>
    </row>
    <row r="173" spans="1:8" s="1" customFormat="1" ht="32.25" customHeight="1">
      <c r="A173" s="11" t="s">
        <v>340</v>
      </c>
      <c r="B173" s="32" t="s">
        <v>35</v>
      </c>
      <c r="C173" s="23" t="s">
        <v>31</v>
      </c>
      <c r="D173" s="23" t="s">
        <v>25</v>
      </c>
      <c r="E173" s="24" t="s">
        <v>344</v>
      </c>
      <c r="F173" s="23"/>
      <c r="G173" s="25">
        <f>G174+G175+G176+G177+G178</f>
        <v>7102.500000000001</v>
      </c>
      <c r="H173" s="25">
        <f>H174+H175+H176+H177+H178</f>
        <v>6857.099999999999</v>
      </c>
    </row>
    <row r="174" spans="1:8" s="1" customFormat="1" ht="75.75" customHeight="1">
      <c r="A174" s="11" t="s">
        <v>176</v>
      </c>
      <c r="B174" s="32" t="s">
        <v>35</v>
      </c>
      <c r="C174" s="23" t="s">
        <v>31</v>
      </c>
      <c r="D174" s="23" t="s">
        <v>25</v>
      </c>
      <c r="E174" s="24" t="s">
        <v>345</v>
      </c>
      <c r="F174" s="23" t="s">
        <v>59</v>
      </c>
      <c r="G174" s="25">
        <f>6105.9-1129.9+4.2+1112.9-619.6-188.1</f>
        <v>5285.4</v>
      </c>
      <c r="H174" s="113">
        <v>5148.5</v>
      </c>
    </row>
    <row r="175" spans="1:8" s="1" customFormat="1" ht="47.25" customHeight="1">
      <c r="A175" s="11" t="s">
        <v>175</v>
      </c>
      <c r="B175" s="32" t="s">
        <v>35</v>
      </c>
      <c r="C175" s="23" t="s">
        <v>31</v>
      </c>
      <c r="D175" s="23" t="s">
        <v>25</v>
      </c>
      <c r="E175" s="24" t="s">
        <v>345</v>
      </c>
      <c r="F175" s="23" t="s">
        <v>58</v>
      </c>
      <c r="G175" s="25">
        <f>1757.2-255.3-4.2-680+97+71.6+255.3-103+470.9-148.3+297.2-273.6-0.1</f>
        <v>1484.7000000000003</v>
      </c>
      <c r="H175" s="113">
        <v>1407.9</v>
      </c>
    </row>
    <row r="176" spans="1:8" s="1" customFormat="1" ht="47.25" customHeight="1">
      <c r="A176" s="11" t="s">
        <v>212</v>
      </c>
      <c r="B176" s="32" t="s">
        <v>35</v>
      </c>
      <c r="C176" s="23" t="s">
        <v>31</v>
      </c>
      <c r="D176" s="23" t="s">
        <v>25</v>
      </c>
      <c r="E176" s="24" t="s">
        <v>345</v>
      </c>
      <c r="F176" s="23" t="s">
        <v>54</v>
      </c>
      <c r="G176" s="25">
        <f>227.1+33</f>
        <v>260.1</v>
      </c>
      <c r="H176" s="113">
        <v>248</v>
      </c>
    </row>
    <row r="177" spans="1:8" s="1" customFormat="1" ht="120">
      <c r="A177" s="11" t="s">
        <v>269</v>
      </c>
      <c r="B177" s="32" t="s">
        <v>35</v>
      </c>
      <c r="C177" s="23" t="s">
        <v>31</v>
      </c>
      <c r="D177" s="23" t="s">
        <v>25</v>
      </c>
      <c r="E177" s="24" t="s">
        <v>348</v>
      </c>
      <c r="F177" s="23" t="s">
        <v>59</v>
      </c>
      <c r="G177" s="25">
        <f>40+15.7-2.8-0.3-3.8-0.2</f>
        <v>48.60000000000001</v>
      </c>
      <c r="H177" s="25">
        <v>29</v>
      </c>
    </row>
    <row r="178" spans="1:8" s="1" customFormat="1" ht="75">
      <c r="A178" s="11" t="s">
        <v>148</v>
      </c>
      <c r="B178" s="32" t="s">
        <v>35</v>
      </c>
      <c r="C178" s="23" t="s">
        <v>31</v>
      </c>
      <c r="D178" s="23" t="s">
        <v>25</v>
      </c>
      <c r="E178" s="24" t="s">
        <v>348</v>
      </c>
      <c r="F178" s="32" t="s">
        <v>60</v>
      </c>
      <c r="G178" s="25">
        <f>14.1+3+2.8-0.2+3.8+0.2</f>
        <v>23.700000000000003</v>
      </c>
      <c r="H178" s="25">
        <v>23.7</v>
      </c>
    </row>
    <row r="179" spans="1:8" s="1" customFormat="1" ht="30">
      <c r="A179" s="11" t="s">
        <v>332</v>
      </c>
      <c r="B179" s="32" t="s">
        <v>35</v>
      </c>
      <c r="C179" s="23" t="s">
        <v>31</v>
      </c>
      <c r="D179" s="23" t="s">
        <v>25</v>
      </c>
      <c r="E179" s="24" t="s">
        <v>30</v>
      </c>
      <c r="F179" s="23"/>
      <c r="G179" s="25">
        <f>G180+G183</f>
        <v>935.9</v>
      </c>
      <c r="H179" s="25">
        <f>H180+H183</f>
        <v>935.9</v>
      </c>
    </row>
    <row r="180" spans="1:8" s="1" customFormat="1" ht="45">
      <c r="A180" s="11" t="s">
        <v>100</v>
      </c>
      <c r="B180" s="32" t="s">
        <v>35</v>
      </c>
      <c r="C180" s="23" t="s">
        <v>31</v>
      </c>
      <c r="D180" s="23" t="s">
        <v>25</v>
      </c>
      <c r="E180" s="24" t="s">
        <v>99</v>
      </c>
      <c r="F180" s="23"/>
      <c r="G180" s="25">
        <f>G181</f>
        <v>836</v>
      </c>
      <c r="H180" s="25">
        <f>H181</f>
        <v>836</v>
      </c>
    </row>
    <row r="181" spans="1:8" s="1" customFormat="1" ht="45">
      <c r="A181" s="11" t="s">
        <v>401</v>
      </c>
      <c r="B181" s="32" t="s">
        <v>35</v>
      </c>
      <c r="C181" s="23" t="s">
        <v>31</v>
      </c>
      <c r="D181" s="23" t="s">
        <v>25</v>
      </c>
      <c r="E181" s="24" t="s">
        <v>209</v>
      </c>
      <c r="F181" s="23"/>
      <c r="G181" s="25">
        <f>G182</f>
        <v>836</v>
      </c>
      <c r="H181" s="25">
        <f>H182</f>
        <v>836</v>
      </c>
    </row>
    <row r="182" spans="1:8" s="1" customFormat="1" ht="41.25" customHeight="1">
      <c r="A182" s="11" t="s">
        <v>409</v>
      </c>
      <c r="B182" s="32" t="s">
        <v>35</v>
      </c>
      <c r="C182" s="23" t="s">
        <v>31</v>
      </c>
      <c r="D182" s="23" t="s">
        <v>25</v>
      </c>
      <c r="E182" s="24" t="s">
        <v>101</v>
      </c>
      <c r="F182" s="23" t="s">
        <v>400</v>
      </c>
      <c r="G182" s="25">
        <v>836</v>
      </c>
      <c r="H182" s="113">
        <v>836</v>
      </c>
    </row>
    <row r="183" spans="1:8" s="1" customFormat="1" ht="45">
      <c r="A183" s="11" t="s">
        <v>406</v>
      </c>
      <c r="B183" s="32" t="s">
        <v>35</v>
      </c>
      <c r="C183" s="23" t="s">
        <v>31</v>
      </c>
      <c r="D183" s="23" t="s">
        <v>25</v>
      </c>
      <c r="E183" s="24" t="s">
        <v>402</v>
      </c>
      <c r="F183" s="23"/>
      <c r="G183" s="25">
        <f>G184</f>
        <v>99.9</v>
      </c>
      <c r="H183" s="25">
        <f>H184</f>
        <v>99.9</v>
      </c>
    </row>
    <row r="184" spans="1:8" s="1" customFormat="1" ht="45">
      <c r="A184" s="11" t="s">
        <v>409</v>
      </c>
      <c r="B184" s="32" t="s">
        <v>35</v>
      </c>
      <c r="C184" s="23" t="s">
        <v>31</v>
      </c>
      <c r="D184" s="23" t="s">
        <v>25</v>
      </c>
      <c r="E184" s="24" t="s">
        <v>407</v>
      </c>
      <c r="F184" s="23" t="s">
        <v>400</v>
      </c>
      <c r="G184" s="25">
        <v>99.9</v>
      </c>
      <c r="H184" s="113">
        <v>99.9</v>
      </c>
    </row>
    <row r="185" spans="1:8" s="1" customFormat="1" ht="30">
      <c r="A185" s="11" t="s">
        <v>333</v>
      </c>
      <c r="B185" s="23" t="s">
        <v>35</v>
      </c>
      <c r="C185" s="23" t="s">
        <v>31</v>
      </c>
      <c r="D185" s="23" t="s">
        <v>25</v>
      </c>
      <c r="E185" s="24" t="s">
        <v>31</v>
      </c>
      <c r="F185" s="23"/>
      <c r="G185" s="25">
        <f>G186</f>
        <v>5</v>
      </c>
      <c r="H185" s="25">
        <f>H186</f>
        <v>0</v>
      </c>
    </row>
    <row r="186" spans="1:8" s="1" customFormat="1" ht="60">
      <c r="A186" s="11" t="s">
        <v>197</v>
      </c>
      <c r="B186" s="23" t="s">
        <v>35</v>
      </c>
      <c r="C186" s="23" t="s">
        <v>31</v>
      </c>
      <c r="D186" s="23" t="s">
        <v>25</v>
      </c>
      <c r="E186" s="24" t="s">
        <v>208</v>
      </c>
      <c r="F186" s="23"/>
      <c r="G186" s="25">
        <f>G187</f>
        <v>5</v>
      </c>
      <c r="H186" s="25">
        <f>H187</f>
        <v>0</v>
      </c>
    </row>
    <row r="187" spans="1:8" s="1" customFormat="1" ht="60">
      <c r="A187" s="11" t="s">
        <v>329</v>
      </c>
      <c r="B187" s="23" t="s">
        <v>35</v>
      </c>
      <c r="C187" s="23" t="s">
        <v>31</v>
      </c>
      <c r="D187" s="23" t="s">
        <v>25</v>
      </c>
      <c r="E187" s="24" t="s">
        <v>102</v>
      </c>
      <c r="F187" s="23" t="s">
        <v>58</v>
      </c>
      <c r="G187" s="25">
        <v>5</v>
      </c>
      <c r="H187" s="113">
        <v>0</v>
      </c>
    </row>
    <row r="188" spans="1:8" s="2" customFormat="1" ht="21" customHeight="1">
      <c r="A188" s="19" t="s">
        <v>281</v>
      </c>
      <c r="B188" s="39" t="s">
        <v>35</v>
      </c>
      <c r="C188" s="20" t="s">
        <v>31</v>
      </c>
      <c r="D188" s="20" t="s">
        <v>26</v>
      </c>
      <c r="E188" s="21"/>
      <c r="F188" s="20"/>
      <c r="G188" s="22">
        <f>G189</f>
        <v>289.3</v>
      </c>
      <c r="H188" s="22">
        <f>H189</f>
        <v>289.3</v>
      </c>
    </row>
    <row r="189" spans="1:8" s="1" customFormat="1" ht="30">
      <c r="A189" s="11" t="s">
        <v>140</v>
      </c>
      <c r="B189" s="32" t="s">
        <v>35</v>
      </c>
      <c r="C189" s="23" t="s">
        <v>31</v>
      </c>
      <c r="D189" s="23" t="s">
        <v>26</v>
      </c>
      <c r="E189" s="24" t="s">
        <v>26</v>
      </c>
      <c r="F189" s="23"/>
      <c r="G189" s="25">
        <f>G190</f>
        <v>289.3</v>
      </c>
      <c r="H189" s="25">
        <f>H190</f>
        <v>289.3</v>
      </c>
    </row>
    <row r="190" spans="1:8" s="1" customFormat="1" ht="29.25" customHeight="1">
      <c r="A190" s="11" t="s">
        <v>343</v>
      </c>
      <c r="B190" s="32" t="s">
        <v>35</v>
      </c>
      <c r="C190" s="23" t="s">
        <v>31</v>
      </c>
      <c r="D190" s="23" t="s">
        <v>26</v>
      </c>
      <c r="E190" s="24" t="s">
        <v>147</v>
      </c>
      <c r="F190" s="23"/>
      <c r="G190" s="25">
        <f>G192</f>
        <v>289.3</v>
      </c>
      <c r="H190" s="25">
        <f>H192</f>
        <v>289.3</v>
      </c>
    </row>
    <row r="191" spans="1:8" s="1" customFormat="1" ht="33" customHeight="1">
      <c r="A191" s="11" t="s">
        <v>340</v>
      </c>
      <c r="B191" s="32" t="s">
        <v>35</v>
      </c>
      <c r="C191" s="23" t="s">
        <v>31</v>
      </c>
      <c r="D191" s="23" t="s">
        <v>26</v>
      </c>
      <c r="E191" s="24" t="s">
        <v>341</v>
      </c>
      <c r="F191" s="23"/>
      <c r="G191" s="25">
        <f>G192</f>
        <v>289.3</v>
      </c>
      <c r="H191" s="25">
        <f>H192</f>
        <v>289.3</v>
      </c>
    </row>
    <row r="192" spans="1:8" s="1" customFormat="1" ht="87.75" customHeight="1">
      <c r="A192" s="11" t="s">
        <v>89</v>
      </c>
      <c r="B192" s="32" t="s">
        <v>35</v>
      </c>
      <c r="C192" s="32" t="s">
        <v>31</v>
      </c>
      <c r="D192" s="32" t="s">
        <v>26</v>
      </c>
      <c r="E192" s="24" t="s">
        <v>342</v>
      </c>
      <c r="F192" s="23" t="s">
        <v>59</v>
      </c>
      <c r="G192" s="25">
        <f>482.8-193.5</f>
        <v>289.3</v>
      </c>
      <c r="H192" s="113">
        <v>289.3</v>
      </c>
    </row>
    <row r="193" spans="1:8" s="1" customFormat="1" ht="14.25">
      <c r="A193" s="15" t="s">
        <v>5</v>
      </c>
      <c r="B193" s="36" t="s">
        <v>35</v>
      </c>
      <c r="C193" s="17" t="s">
        <v>27</v>
      </c>
      <c r="D193" s="17"/>
      <c r="E193" s="18"/>
      <c r="F193" s="17"/>
      <c r="G193" s="16">
        <f aca="true" t="shared" si="2" ref="G193:H195">G194</f>
        <v>6912.5</v>
      </c>
      <c r="H193" s="16">
        <f t="shared" si="2"/>
        <v>6912.4</v>
      </c>
    </row>
    <row r="194" spans="1:8" s="2" customFormat="1" ht="15">
      <c r="A194" s="19" t="s">
        <v>17</v>
      </c>
      <c r="B194" s="39" t="s">
        <v>35</v>
      </c>
      <c r="C194" s="20" t="s">
        <v>27</v>
      </c>
      <c r="D194" s="20" t="s">
        <v>28</v>
      </c>
      <c r="E194" s="21"/>
      <c r="F194" s="20"/>
      <c r="G194" s="22">
        <f t="shared" si="2"/>
        <v>6912.5</v>
      </c>
      <c r="H194" s="22">
        <f t="shared" si="2"/>
        <v>6912.4</v>
      </c>
    </row>
    <row r="195" spans="1:8" s="2" customFormat="1" ht="30">
      <c r="A195" s="11" t="s">
        <v>335</v>
      </c>
      <c r="B195" s="32" t="s">
        <v>35</v>
      </c>
      <c r="C195" s="23" t="s">
        <v>27</v>
      </c>
      <c r="D195" s="23" t="s">
        <v>28</v>
      </c>
      <c r="E195" s="24" t="s">
        <v>43</v>
      </c>
      <c r="F195" s="23"/>
      <c r="G195" s="25">
        <f t="shared" si="2"/>
        <v>6912.5</v>
      </c>
      <c r="H195" s="25">
        <f t="shared" si="2"/>
        <v>6912.4</v>
      </c>
    </row>
    <row r="196" spans="1:8" s="2" customFormat="1" ht="30">
      <c r="A196" s="11" t="s">
        <v>288</v>
      </c>
      <c r="B196" s="32" t="s">
        <v>35</v>
      </c>
      <c r="C196" s="23" t="s">
        <v>27</v>
      </c>
      <c r="D196" s="23" t="s">
        <v>28</v>
      </c>
      <c r="E196" s="24" t="s">
        <v>153</v>
      </c>
      <c r="F196" s="23"/>
      <c r="G196" s="25">
        <f>G198+G199+G197</f>
        <v>6912.5</v>
      </c>
      <c r="H196" s="25">
        <f>H198+H199+H197</f>
        <v>6912.4</v>
      </c>
    </row>
    <row r="197" spans="1:8" s="2" customFormat="1" ht="45">
      <c r="A197" s="11" t="s">
        <v>267</v>
      </c>
      <c r="B197" s="32" t="s">
        <v>35</v>
      </c>
      <c r="C197" s="23" t="s">
        <v>27</v>
      </c>
      <c r="D197" s="23" t="s">
        <v>28</v>
      </c>
      <c r="E197" s="24" t="s">
        <v>427</v>
      </c>
      <c r="F197" s="23" t="s">
        <v>60</v>
      </c>
      <c r="G197" s="25">
        <f>156+334.6</f>
        <v>490.6</v>
      </c>
      <c r="H197" s="25">
        <v>490.6</v>
      </c>
    </row>
    <row r="198" spans="1:8" s="1" customFormat="1" ht="44.25" customHeight="1">
      <c r="A198" s="11" t="s">
        <v>442</v>
      </c>
      <c r="B198" s="23" t="s">
        <v>35</v>
      </c>
      <c r="C198" s="23" t="s">
        <v>27</v>
      </c>
      <c r="D198" s="23" t="s">
        <v>28</v>
      </c>
      <c r="E198" s="24" t="s">
        <v>443</v>
      </c>
      <c r="F198" s="23" t="s">
        <v>60</v>
      </c>
      <c r="G198" s="25">
        <f>2943.9+2322</f>
        <v>5265.9</v>
      </c>
      <c r="H198" s="113">
        <v>5265.9</v>
      </c>
    </row>
    <row r="199" spans="1:8" s="1" customFormat="1" ht="53.25" customHeight="1">
      <c r="A199" s="11" t="s">
        <v>268</v>
      </c>
      <c r="B199" s="23" t="s">
        <v>35</v>
      </c>
      <c r="C199" s="23" t="s">
        <v>27</v>
      </c>
      <c r="D199" s="23" t="s">
        <v>28</v>
      </c>
      <c r="E199" s="24" t="s">
        <v>154</v>
      </c>
      <c r="F199" s="23" t="s">
        <v>60</v>
      </c>
      <c r="G199" s="25">
        <v>1156</v>
      </c>
      <c r="H199" s="113">
        <v>1155.9</v>
      </c>
    </row>
    <row r="200" spans="1:8" s="1" customFormat="1" ht="14.25">
      <c r="A200" s="15" t="s">
        <v>6</v>
      </c>
      <c r="B200" s="17" t="s">
        <v>35</v>
      </c>
      <c r="C200" s="17" t="s">
        <v>43</v>
      </c>
      <c r="D200" s="17"/>
      <c r="E200" s="18"/>
      <c r="F200" s="17"/>
      <c r="G200" s="16">
        <f>G201+G205</f>
        <v>596</v>
      </c>
      <c r="H200" s="16">
        <f>H201+H205</f>
        <v>568.3</v>
      </c>
    </row>
    <row r="201" spans="1:8" s="2" customFormat="1" ht="15">
      <c r="A201" s="19" t="s">
        <v>56</v>
      </c>
      <c r="B201" s="20" t="s">
        <v>35</v>
      </c>
      <c r="C201" s="20" t="s">
        <v>43</v>
      </c>
      <c r="D201" s="20" t="s">
        <v>25</v>
      </c>
      <c r="E201" s="21"/>
      <c r="F201" s="20"/>
      <c r="G201" s="22">
        <f aca="true" t="shared" si="3" ref="G201:H203">G202</f>
        <v>403</v>
      </c>
      <c r="H201" s="22">
        <f t="shared" si="3"/>
        <v>392.6</v>
      </c>
    </row>
    <row r="202" spans="1:8" s="12" customFormat="1" ht="30">
      <c r="A202" s="11" t="s">
        <v>155</v>
      </c>
      <c r="B202" s="23" t="s">
        <v>35</v>
      </c>
      <c r="C202" s="23" t="s">
        <v>43</v>
      </c>
      <c r="D202" s="23" t="s">
        <v>25</v>
      </c>
      <c r="E202" s="24" t="s">
        <v>32</v>
      </c>
      <c r="F202" s="23"/>
      <c r="G202" s="25">
        <f t="shared" si="3"/>
        <v>403</v>
      </c>
      <c r="H202" s="25">
        <f t="shared" si="3"/>
        <v>392.6</v>
      </c>
    </row>
    <row r="203" spans="1:8" s="12" customFormat="1" ht="30">
      <c r="A203" s="11" t="s">
        <v>289</v>
      </c>
      <c r="B203" s="23" t="s">
        <v>35</v>
      </c>
      <c r="C203" s="23" t="s">
        <v>43</v>
      </c>
      <c r="D203" s="23" t="s">
        <v>25</v>
      </c>
      <c r="E203" s="24" t="s">
        <v>156</v>
      </c>
      <c r="F203" s="23"/>
      <c r="G203" s="25">
        <f t="shared" si="3"/>
        <v>403</v>
      </c>
      <c r="H203" s="25">
        <f t="shared" si="3"/>
        <v>392.6</v>
      </c>
    </row>
    <row r="204" spans="1:8" s="1" customFormat="1" ht="45">
      <c r="A204" s="11" t="s">
        <v>314</v>
      </c>
      <c r="B204" s="32" t="s">
        <v>35</v>
      </c>
      <c r="C204" s="32" t="s">
        <v>43</v>
      </c>
      <c r="D204" s="32" t="s">
        <v>25</v>
      </c>
      <c r="E204" s="24" t="s">
        <v>157</v>
      </c>
      <c r="F204" s="23" t="s">
        <v>58</v>
      </c>
      <c r="G204" s="25">
        <f>150+103+150</f>
        <v>403</v>
      </c>
      <c r="H204" s="113">
        <v>392.6</v>
      </c>
    </row>
    <row r="205" spans="1:8" s="2" customFormat="1" ht="20.25" customHeight="1">
      <c r="A205" s="19" t="s">
        <v>9</v>
      </c>
      <c r="B205" s="20" t="s">
        <v>35</v>
      </c>
      <c r="C205" s="20" t="s">
        <v>43</v>
      </c>
      <c r="D205" s="20" t="s">
        <v>33</v>
      </c>
      <c r="E205" s="21"/>
      <c r="F205" s="20"/>
      <c r="G205" s="22">
        <f>G206</f>
        <v>193</v>
      </c>
      <c r="H205" s="22">
        <f>H206</f>
        <v>175.7</v>
      </c>
    </row>
    <row r="206" spans="1:8" s="2" customFormat="1" ht="33.75" customHeight="1">
      <c r="A206" s="11" t="s">
        <v>140</v>
      </c>
      <c r="B206" s="32" t="s">
        <v>35</v>
      </c>
      <c r="C206" s="23" t="s">
        <v>43</v>
      </c>
      <c r="D206" s="23" t="s">
        <v>33</v>
      </c>
      <c r="E206" s="24" t="s">
        <v>26</v>
      </c>
      <c r="F206" s="23"/>
      <c r="G206" s="25">
        <f>G207</f>
        <v>193</v>
      </c>
      <c r="H206" s="25">
        <f>H207</f>
        <v>175.7</v>
      </c>
    </row>
    <row r="207" spans="1:8" s="2" customFormat="1" ht="30" customHeight="1">
      <c r="A207" s="11" t="s">
        <v>343</v>
      </c>
      <c r="B207" s="32" t="s">
        <v>35</v>
      </c>
      <c r="C207" s="23" t="s">
        <v>43</v>
      </c>
      <c r="D207" s="23" t="s">
        <v>33</v>
      </c>
      <c r="E207" s="24" t="s">
        <v>147</v>
      </c>
      <c r="F207" s="23"/>
      <c r="G207" s="25">
        <f>G209</f>
        <v>193</v>
      </c>
      <c r="H207" s="25">
        <f>H209</f>
        <v>175.7</v>
      </c>
    </row>
    <row r="208" spans="1:8" s="2" customFormat="1" ht="31.5" customHeight="1">
      <c r="A208" s="11" t="s">
        <v>340</v>
      </c>
      <c r="B208" s="32" t="s">
        <v>35</v>
      </c>
      <c r="C208" s="23" t="s">
        <v>43</v>
      </c>
      <c r="D208" s="23" t="s">
        <v>33</v>
      </c>
      <c r="E208" s="24" t="s">
        <v>341</v>
      </c>
      <c r="F208" s="23"/>
      <c r="G208" s="25">
        <f>G209</f>
        <v>193</v>
      </c>
      <c r="H208" s="25">
        <f>H209</f>
        <v>175.7</v>
      </c>
    </row>
    <row r="209" spans="1:8" s="2" customFormat="1" ht="92.25" customHeight="1">
      <c r="A209" s="11" t="s">
        <v>89</v>
      </c>
      <c r="B209" s="32" t="s">
        <v>35</v>
      </c>
      <c r="C209" s="32" t="s">
        <v>43</v>
      </c>
      <c r="D209" s="32" t="s">
        <v>33</v>
      </c>
      <c r="E209" s="24" t="s">
        <v>342</v>
      </c>
      <c r="F209" s="23" t="s">
        <v>59</v>
      </c>
      <c r="G209" s="25">
        <f>214-21</f>
        <v>193</v>
      </c>
      <c r="H209" s="114">
        <v>175.7</v>
      </c>
    </row>
    <row r="210" spans="1:8" s="1" customFormat="1" ht="45" customHeight="1">
      <c r="A210" s="15" t="s">
        <v>71</v>
      </c>
      <c r="B210" s="17" t="s">
        <v>36</v>
      </c>
      <c r="C210" s="17"/>
      <c r="D210" s="17"/>
      <c r="E210" s="18"/>
      <c r="F210" s="17"/>
      <c r="G210" s="16">
        <f>G221+G274+G211+G215</f>
        <v>222592.58699999997</v>
      </c>
      <c r="H210" s="16">
        <f>H221+H274+H211+H215</f>
        <v>221648.89999999997</v>
      </c>
    </row>
    <row r="211" spans="1:8" s="1" customFormat="1" ht="16.5" customHeight="1">
      <c r="A211" s="19" t="s">
        <v>371</v>
      </c>
      <c r="B211" s="20" t="s">
        <v>36</v>
      </c>
      <c r="C211" s="20" t="s">
        <v>26</v>
      </c>
      <c r="D211" s="20" t="s">
        <v>25</v>
      </c>
      <c r="E211" s="21"/>
      <c r="F211" s="20"/>
      <c r="G211" s="22">
        <f aca="true" t="shared" si="4" ref="G211:H213">G212</f>
        <v>80.8</v>
      </c>
      <c r="H211" s="22">
        <f t="shared" si="4"/>
        <v>80.8</v>
      </c>
    </row>
    <row r="212" spans="1:8" s="1" customFormat="1" ht="18.75" customHeight="1">
      <c r="A212" s="11" t="s">
        <v>90</v>
      </c>
      <c r="B212" s="23" t="s">
        <v>36</v>
      </c>
      <c r="C212" s="23" t="s">
        <v>26</v>
      </c>
      <c r="D212" s="23" t="s">
        <v>25</v>
      </c>
      <c r="E212" s="24" t="s">
        <v>87</v>
      </c>
      <c r="F212" s="17"/>
      <c r="G212" s="25">
        <f t="shared" si="4"/>
        <v>80.8</v>
      </c>
      <c r="H212" s="25">
        <f t="shared" si="4"/>
        <v>80.8</v>
      </c>
    </row>
    <row r="213" spans="1:8" s="1" customFormat="1" ht="15" customHeight="1">
      <c r="A213" s="11" t="s">
        <v>78</v>
      </c>
      <c r="B213" s="23" t="s">
        <v>36</v>
      </c>
      <c r="C213" s="23" t="s">
        <v>26</v>
      </c>
      <c r="D213" s="23" t="s">
        <v>25</v>
      </c>
      <c r="E213" s="24" t="s">
        <v>92</v>
      </c>
      <c r="F213" s="17"/>
      <c r="G213" s="25">
        <f t="shared" si="4"/>
        <v>80.8</v>
      </c>
      <c r="H213" s="25">
        <f t="shared" si="4"/>
        <v>80.8</v>
      </c>
    </row>
    <row r="214" spans="1:8" s="1" customFormat="1" ht="44.25" customHeight="1">
      <c r="A214" s="11" t="s">
        <v>374</v>
      </c>
      <c r="B214" s="23" t="s">
        <v>36</v>
      </c>
      <c r="C214" s="23" t="s">
        <v>26</v>
      </c>
      <c r="D214" s="23" t="s">
        <v>25</v>
      </c>
      <c r="E214" s="24" t="s">
        <v>372</v>
      </c>
      <c r="F214" s="23" t="s">
        <v>58</v>
      </c>
      <c r="G214" s="25">
        <v>80.8</v>
      </c>
      <c r="H214" s="25">
        <v>80.8</v>
      </c>
    </row>
    <row r="215" spans="1:8" s="1" customFormat="1" ht="24.75" customHeight="1">
      <c r="A215" s="15" t="s">
        <v>70</v>
      </c>
      <c r="B215" s="17" t="s">
        <v>36</v>
      </c>
      <c r="C215" s="17" t="s">
        <v>33</v>
      </c>
      <c r="D215" s="23"/>
      <c r="E215" s="24"/>
      <c r="F215" s="23"/>
      <c r="G215" s="25">
        <f aca="true" t="shared" si="5" ref="G215:H219">G216</f>
        <v>166.8</v>
      </c>
      <c r="H215" s="25">
        <f t="shared" si="5"/>
        <v>166.6</v>
      </c>
    </row>
    <row r="216" spans="1:8" s="1" customFormat="1" ht="19.5" customHeight="1">
      <c r="A216" s="19" t="s">
        <v>68</v>
      </c>
      <c r="B216" s="20" t="s">
        <v>36</v>
      </c>
      <c r="C216" s="20" t="s">
        <v>33</v>
      </c>
      <c r="D216" s="20" t="s">
        <v>29</v>
      </c>
      <c r="E216" s="24"/>
      <c r="F216" s="23"/>
      <c r="G216" s="25">
        <f t="shared" si="5"/>
        <v>166.8</v>
      </c>
      <c r="H216" s="25">
        <f t="shared" si="5"/>
        <v>166.6</v>
      </c>
    </row>
    <row r="217" spans="1:8" s="1" customFormat="1" ht="33.75" customHeight="1">
      <c r="A217" s="11" t="s">
        <v>332</v>
      </c>
      <c r="B217" s="23" t="s">
        <v>36</v>
      </c>
      <c r="C217" s="23" t="s">
        <v>33</v>
      </c>
      <c r="D217" s="23" t="s">
        <v>29</v>
      </c>
      <c r="E217" s="24" t="s">
        <v>30</v>
      </c>
      <c r="F217" s="23"/>
      <c r="G217" s="25">
        <f t="shared" si="5"/>
        <v>166.8</v>
      </c>
      <c r="H217" s="25">
        <f t="shared" si="5"/>
        <v>166.6</v>
      </c>
    </row>
    <row r="218" spans="1:8" s="1" customFormat="1" ht="44.25" customHeight="1">
      <c r="A218" s="11" t="s">
        <v>420</v>
      </c>
      <c r="B218" s="23" t="s">
        <v>36</v>
      </c>
      <c r="C218" s="23" t="s">
        <v>33</v>
      </c>
      <c r="D218" s="23" t="s">
        <v>29</v>
      </c>
      <c r="E218" s="24" t="s">
        <v>419</v>
      </c>
      <c r="F218" s="23"/>
      <c r="G218" s="25">
        <f t="shared" si="5"/>
        <v>166.8</v>
      </c>
      <c r="H218" s="25">
        <f t="shared" si="5"/>
        <v>166.6</v>
      </c>
    </row>
    <row r="219" spans="1:8" s="1" customFormat="1" ht="44.25" customHeight="1">
      <c r="A219" s="11" t="s">
        <v>422</v>
      </c>
      <c r="B219" s="23" t="s">
        <v>36</v>
      </c>
      <c r="C219" s="23" t="s">
        <v>33</v>
      </c>
      <c r="D219" s="23" t="s">
        <v>29</v>
      </c>
      <c r="E219" s="24" t="s">
        <v>421</v>
      </c>
      <c r="F219" s="23"/>
      <c r="G219" s="25">
        <f t="shared" si="5"/>
        <v>166.8</v>
      </c>
      <c r="H219" s="25">
        <f t="shared" si="5"/>
        <v>166.6</v>
      </c>
    </row>
    <row r="220" spans="1:8" s="1" customFormat="1" ht="44.25" customHeight="1">
      <c r="A220" s="11" t="s">
        <v>409</v>
      </c>
      <c r="B220" s="23" t="s">
        <v>36</v>
      </c>
      <c r="C220" s="23" t="s">
        <v>33</v>
      </c>
      <c r="D220" s="23" t="s">
        <v>29</v>
      </c>
      <c r="E220" s="24" t="s">
        <v>418</v>
      </c>
      <c r="F220" s="23" t="s">
        <v>400</v>
      </c>
      <c r="G220" s="25">
        <f>52.6+114.2</f>
        <v>166.8</v>
      </c>
      <c r="H220" s="25">
        <v>166.6</v>
      </c>
    </row>
    <row r="221" spans="1:8" s="1" customFormat="1" ht="14.25">
      <c r="A221" s="15" t="s">
        <v>1</v>
      </c>
      <c r="B221" s="17" t="s">
        <v>36</v>
      </c>
      <c r="C221" s="17" t="s">
        <v>32</v>
      </c>
      <c r="D221" s="17"/>
      <c r="E221" s="18"/>
      <c r="F221" s="17"/>
      <c r="G221" s="16">
        <f>G222+G234+G249</f>
        <v>214919.487</v>
      </c>
      <c r="H221" s="16">
        <f>H222+H234+H249</f>
        <v>213975.99999999997</v>
      </c>
    </row>
    <row r="222" spans="1:8" s="2" customFormat="1" ht="15">
      <c r="A222" s="19" t="s">
        <v>11</v>
      </c>
      <c r="B222" s="20" t="s">
        <v>36</v>
      </c>
      <c r="C222" s="20" t="s">
        <v>32</v>
      </c>
      <c r="D222" s="20" t="s">
        <v>25</v>
      </c>
      <c r="E222" s="21"/>
      <c r="F222" s="20"/>
      <c r="G222" s="22">
        <f aca="true" t="shared" si="6" ref="G222:H224">G223</f>
        <v>57971.637</v>
      </c>
      <c r="H222" s="22">
        <f t="shared" si="6"/>
        <v>57139.399999999994</v>
      </c>
    </row>
    <row r="223" spans="1:8" s="12" customFormat="1" ht="22.5" customHeight="1">
      <c r="A223" s="11" t="s">
        <v>129</v>
      </c>
      <c r="B223" s="23" t="s">
        <v>36</v>
      </c>
      <c r="C223" s="23" t="s">
        <v>32</v>
      </c>
      <c r="D223" s="23" t="s">
        <v>25</v>
      </c>
      <c r="E223" s="24" t="s">
        <v>28</v>
      </c>
      <c r="F223" s="23"/>
      <c r="G223" s="25">
        <f t="shared" si="6"/>
        <v>57971.637</v>
      </c>
      <c r="H223" s="25">
        <f t="shared" si="6"/>
        <v>57139.399999999994</v>
      </c>
    </row>
    <row r="224" spans="1:8" s="12" customFormat="1" ht="33.75" customHeight="1">
      <c r="A224" s="11" t="s">
        <v>158</v>
      </c>
      <c r="B224" s="23" t="s">
        <v>36</v>
      </c>
      <c r="C224" s="23" t="s">
        <v>32</v>
      </c>
      <c r="D224" s="23" t="s">
        <v>25</v>
      </c>
      <c r="E224" s="24" t="s">
        <v>159</v>
      </c>
      <c r="F224" s="23"/>
      <c r="G224" s="25">
        <f t="shared" si="6"/>
        <v>57971.637</v>
      </c>
      <c r="H224" s="25">
        <f t="shared" si="6"/>
        <v>57139.399999999994</v>
      </c>
    </row>
    <row r="225" spans="1:8" s="12" customFormat="1" ht="30">
      <c r="A225" s="11" t="s">
        <v>161</v>
      </c>
      <c r="B225" s="23" t="s">
        <v>36</v>
      </c>
      <c r="C225" s="23" t="s">
        <v>32</v>
      </c>
      <c r="D225" s="23" t="s">
        <v>25</v>
      </c>
      <c r="E225" s="24" t="s">
        <v>160</v>
      </c>
      <c r="F225" s="23"/>
      <c r="G225" s="25">
        <f>G226+G227+G229+G230+G231+G232+G233+G228</f>
        <v>57971.637</v>
      </c>
      <c r="H225" s="25">
        <f>H226+H227+H229+H230+H231+H232+H233+H228</f>
        <v>57139.399999999994</v>
      </c>
    </row>
    <row r="226" spans="1:9" s="1" customFormat="1" ht="51.75" customHeight="1">
      <c r="A226" s="11" t="s">
        <v>316</v>
      </c>
      <c r="B226" s="23" t="s">
        <v>36</v>
      </c>
      <c r="C226" s="23" t="s">
        <v>32</v>
      </c>
      <c r="D226" s="23" t="s">
        <v>25</v>
      </c>
      <c r="E226" s="24" t="s">
        <v>163</v>
      </c>
      <c r="F226" s="23" t="s">
        <v>58</v>
      </c>
      <c r="G226" s="25">
        <f>14662.8+40+248.4+40+43.3-4.5+21.1+20+41.2+57.8+35+40+6.5+25+3+5+34.8+70.5+4.8+8.4+90-9.9-25.063-408.8+5+75.7+105.6+63.7+87.4+10-1488.2+519.7</f>
        <v>14428.237</v>
      </c>
      <c r="H226" s="113">
        <v>14423.3</v>
      </c>
      <c r="I226" s="87"/>
    </row>
    <row r="227" spans="1:8" s="1" customFormat="1" ht="50.25" customHeight="1">
      <c r="A227" s="11" t="s">
        <v>162</v>
      </c>
      <c r="B227" s="23" t="s">
        <v>36</v>
      </c>
      <c r="C227" s="23" t="s">
        <v>32</v>
      </c>
      <c r="D227" s="23" t="s">
        <v>25</v>
      </c>
      <c r="E227" s="24" t="s">
        <v>163</v>
      </c>
      <c r="F227" s="23" t="s">
        <v>54</v>
      </c>
      <c r="G227" s="25">
        <f>153.5+4.5+0.7+5.5-49.8</f>
        <v>114.39999999999999</v>
      </c>
      <c r="H227" s="113">
        <v>113.3</v>
      </c>
    </row>
    <row r="228" spans="1:8" s="1" customFormat="1" ht="72.75" customHeight="1">
      <c r="A228" s="11" t="s">
        <v>376</v>
      </c>
      <c r="B228" s="23" t="s">
        <v>36</v>
      </c>
      <c r="C228" s="23" t="s">
        <v>32</v>
      </c>
      <c r="D228" s="23" t="s">
        <v>25</v>
      </c>
      <c r="E228" s="24" t="s">
        <v>349</v>
      </c>
      <c r="F228" s="23" t="s">
        <v>58</v>
      </c>
      <c r="G228" s="25">
        <v>1500</v>
      </c>
      <c r="H228" s="113">
        <v>1500</v>
      </c>
    </row>
    <row r="229" spans="1:8" s="1" customFormat="1" ht="90.75" customHeight="1">
      <c r="A229" s="11" t="s">
        <v>282</v>
      </c>
      <c r="B229" s="23" t="s">
        <v>36</v>
      </c>
      <c r="C229" s="23" t="s">
        <v>32</v>
      </c>
      <c r="D229" s="23" t="s">
        <v>25</v>
      </c>
      <c r="E229" s="24" t="s">
        <v>164</v>
      </c>
      <c r="F229" s="23" t="s">
        <v>59</v>
      </c>
      <c r="G229" s="25">
        <f>32207.4-7.5+334.5+2000+500+0.3+44.7+3413.1</f>
        <v>38492.5</v>
      </c>
      <c r="H229" s="113">
        <v>38492.5</v>
      </c>
    </row>
    <row r="230" spans="1:8" s="1" customFormat="1" ht="63.75" customHeight="1">
      <c r="A230" s="11" t="s">
        <v>315</v>
      </c>
      <c r="B230" s="23" t="s">
        <v>36</v>
      </c>
      <c r="C230" s="32" t="s">
        <v>32</v>
      </c>
      <c r="D230" s="23" t="s">
        <v>25</v>
      </c>
      <c r="E230" s="24" t="s">
        <v>164</v>
      </c>
      <c r="F230" s="23" t="s">
        <v>58</v>
      </c>
      <c r="G230" s="25">
        <f>605.1-159-168-0.3-44.7</f>
        <v>233.10000000000002</v>
      </c>
      <c r="H230" s="113">
        <v>233.1</v>
      </c>
    </row>
    <row r="231" spans="1:8" s="1" customFormat="1" ht="125.25" customHeight="1">
      <c r="A231" s="11" t="s">
        <v>134</v>
      </c>
      <c r="B231" s="23" t="s">
        <v>36</v>
      </c>
      <c r="C231" s="32" t="s">
        <v>32</v>
      </c>
      <c r="D231" s="23" t="s">
        <v>25</v>
      </c>
      <c r="E231" s="42" t="s">
        <v>166</v>
      </c>
      <c r="F231" s="23" t="s">
        <v>59</v>
      </c>
      <c r="G231" s="25">
        <f>498.4-42.1-11.8-107</f>
        <v>337.49999999999994</v>
      </c>
      <c r="H231" s="113">
        <v>337.5</v>
      </c>
    </row>
    <row r="232" spans="1:8" s="1" customFormat="1" ht="90">
      <c r="A232" s="11" t="s">
        <v>165</v>
      </c>
      <c r="B232" s="23" t="s">
        <v>36</v>
      </c>
      <c r="C232" s="32" t="s">
        <v>32</v>
      </c>
      <c r="D232" s="23" t="s">
        <v>25</v>
      </c>
      <c r="E232" s="42" t="s">
        <v>166</v>
      </c>
      <c r="F232" s="23" t="s">
        <v>60</v>
      </c>
      <c r="G232" s="25">
        <f>21.6+11.8-4.4</f>
        <v>29.000000000000007</v>
      </c>
      <c r="H232" s="113">
        <v>29</v>
      </c>
    </row>
    <row r="233" spans="1:8" s="1" customFormat="1" ht="68.25" customHeight="1">
      <c r="A233" s="11" t="s">
        <v>317</v>
      </c>
      <c r="B233" s="23" t="s">
        <v>36</v>
      </c>
      <c r="C233" s="32" t="s">
        <v>32</v>
      </c>
      <c r="D233" s="23" t="s">
        <v>25</v>
      </c>
      <c r="E233" s="24" t="s">
        <v>167</v>
      </c>
      <c r="F233" s="23" t="s">
        <v>58</v>
      </c>
      <c r="G233" s="25">
        <f>2799.4+37.5</f>
        <v>2836.9</v>
      </c>
      <c r="H233" s="113">
        <v>2010.7</v>
      </c>
    </row>
    <row r="234" spans="1:8" s="2" customFormat="1" ht="15">
      <c r="A234" s="19" t="s">
        <v>14</v>
      </c>
      <c r="B234" s="20" t="s">
        <v>36</v>
      </c>
      <c r="C234" s="20" t="s">
        <v>32</v>
      </c>
      <c r="D234" s="20" t="s">
        <v>29</v>
      </c>
      <c r="E234" s="21"/>
      <c r="F234" s="20"/>
      <c r="G234" s="22">
        <f aca="true" t="shared" si="7" ref="G234:H236">G235</f>
        <v>151145.74999999997</v>
      </c>
      <c r="H234" s="22">
        <f t="shared" si="7"/>
        <v>151139.8</v>
      </c>
    </row>
    <row r="235" spans="1:8" s="2" customFormat="1" ht="15">
      <c r="A235" s="11" t="s">
        <v>129</v>
      </c>
      <c r="B235" s="23" t="s">
        <v>36</v>
      </c>
      <c r="C235" s="23" t="s">
        <v>32</v>
      </c>
      <c r="D235" s="23" t="s">
        <v>29</v>
      </c>
      <c r="E235" s="24" t="s">
        <v>28</v>
      </c>
      <c r="F235" s="23"/>
      <c r="G235" s="25">
        <f t="shared" si="7"/>
        <v>151145.74999999997</v>
      </c>
      <c r="H235" s="25">
        <f t="shared" si="7"/>
        <v>151139.8</v>
      </c>
    </row>
    <row r="236" spans="1:8" s="2" customFormat="1" ht="30">
      <c r="A236" s="11" t="s">
        <v>168</v>
      </c>
      <c r="B236" s="23" t="s">
        <v>36</v>
      </c>
      <c r="C236" s="23" t="s">
        <v>32</v>
      </c>
      <c r="D236" s="23" t="s">
        <v>29</v>
      </c>
      <c r="E236" s="24" t="s">
        <v>169</v>
      </c>
      <c r="F236" s="23"/>
      <c r="G236" s="25">
        <f t="shared" si="7"/>
        <v>151145.74999999997</v>
      </c>
      <c r="H236" s="25">
        <f t="shared" si="7"/>
        <v>151139.8</v>
      </c>
    </row>
    <row r="237" spans="1:8" s="2" customFormat="1" ht="21" customHeight="1">
      <c r="A237" s="11" t="s">
        <v>293</v>
      </c>
      <c r="B237" s="23" t="s">
        <v>36</v>
      </c>
      <c r="C237" s="23" t="s">
        <v>32</v>
      </c>
      <c r="D237" s="23" t="s">
        <v>29</v>
      </c>
      <c r="E237" s="24" t="s">
        <v>286</v>
      </c>
      <c r="F237" s="23"/>
      <c r="G237" s="25">
        <f>G239+G240+G241+G242+G244+G245+G246+G247+G248+G243+G238</f>
        <v>151145.74999999997</v>
      </c>
      <c r="H237" s="25">
        <f>H239+H240+H241+H242+H244+H245+H246+H247+H248+H243+H238</f>
        <v>151139.8</v>
      </c>
    </row>
    <row r="238" spans="1:8" s="2" customFormat="1" ht="72.75" customHeight="1">
      <c r="A238" s="11" t="s">
        <v>451</v>
      </c>
      <c r="B238" s="23" t="s">
        <v>36</v>
      </c>
      <c r="C238" s="23" t="s">
        <v>32</v>
      </c>
      <c r="D238" s="23" t="s">
        <v>29</v>
      </c>
      <c r="E238" s="24" t="s">
        <v>450</v>
      </c>
      <c r="F238" s="23" t="s">
        <v>59</v>
      </c>
      <c r="G238" s="25">
        <v>200</v>
      </c>
      <c r="H238" s="25">
        <v>200</v>
      </c>
    </row>
    <row r="239" spans="1:9" s="1" customFormat="1" ht="60" customHeight="1">
      <c r="A239" s="11" t="s">
        <v>318</v>
      </c>
      <c r="B239" s="23" t="s">
        <v>36</v>
      </c>
      <c r="C239" s="23" t="s">
        <v>32</v>
      </c>
      <c r="D239" s="23" t="s">
        <v>29</v>
      </c>
      <c r="E239" s="24" t="s">
        <v>171</v>
      </c>
      <c r="F239" s="23" t="s">
        <v>58</v>
      </c>
      <c r="G239" s="25">
        <f>17839+55+303.3+55.6-156+328.8-0.2-469.1+100+366.1-3+23-10.1+8+1578.9-12+60+300-19.8+10+300+35+15+9.6+45+9.1+1+246+48+52.1+16.3+1405+60-350.9+360.8-635.1+16.85+10.2+189.3+2+6-299.3+1613.2+0.2</f>
        <v>23512.849999999995</v>
      </c>
      <c r="H239" s="113">
        <v>23512.1</v>
      </c>
      <c r="I239" s="87"/>
    </row>
    <row r="240" spans="1:8" s="1" customFormat="1" ht="51" customHeight="1">
      <c r="A240" s="11" t="s">
        <v>170</v>
      </c>
      <c r="B240" s="23" t="s">
        <v>36</v>
      </c>
      <c r="C240" s="23" t="s">
        <v>32</v>
      </c>
      <c r="D240" s="23" t="s">
        <v>29</v>
      </c>
      <c r="E240" s="24" t="s">
        <v>172</v>
      </c>
      <c r="F240" s="23" t="s">
        <v>54</v>
      </c>
      <c r="G240" s="25">
        <f>795.5+3+10+10.1+12-162.8-57</f>
        <v>610.8</v>
      </c>
      <c r="H240" s="113">
        <v>609.3</v>
      </c>
    </row>
    <row r="241" spans="1:8" s="1" customFormat="1" ht="75">
      <c r="A241" s="11" t="s">
        <v>432</v>
      </c>
      <c r="B241" s="23" t="s">
        <v>36</v>
      </c>
      <c r="C241" s="23" t="s">
        <v>32</v>
      </c>
      <c r="D241" s="23" t="s">
        <v>29</v>
      </c>
      <c r="E241" s="24" t="s">
        <v>173</v>
      </c>
      <c r="F241" s="32" t="s">
        <v>59</v>
      </c>
      <c r="G241" s="25">
        <f>93277.6+24775.7+24.5+597.4+2601.1+38.3</f>
        <v>121314.6</v>
      </c>
      <c r="H241" s="113">
        <v>121314.6</v>
      </c>
    </row>
    <row r="242" spans="1:8" s="1" customFormat="1" ht="42" customHeight="1">
      <c r="A242" s="11" t="s">
        <v>433</v>
      </c>
      <c r="B242" s="23" t="s">
        <v>36</v>
      </c>
      <c r="C242" s="23" t="s">
        <v>32</v>
      </c>
      <c r="D242" s="23" t="s">
        <v>29</v>
      </c>
      <c r="E242" s="24" t="s">
        <v>173</v>
      </c>
      <c r="F242" s="32" t="s">
        <v>58</v>
      </c>
      <c r="G242" s="25">
        <f>1806.4-10.5+0.1-24.5-597.4-38.3</f>
        <v>1135.8</v>
      </c>
      <c r="H242" s="113">
        <v>1135.8</v>
      </c>
    </row>
    <row r="243" spans="1:8" s="1" customFormat="1" ht="42" customHeight="1">
      <c r="A243" s="11" t="s">
        <v>434</v>
      </c>
      <c r="B243" s="23" t="s">
        <v>36</v>
      </c>
      <c r="C243" s="23" t="s">
        <v>32</v>
      </c>
      <c r="D243" s="23" t="s">
        <v>29</v>
      </c>
      <c r="E243" s="24" t="s">
        <v>173</v>
      </c>
      <c r="F243" s="32" t="s">
        <v>60</v>
      </c>
      <c r="G243" s="25">
        <v>10.5</v>
      </c>
      <c r="H243" s="113">
        <v>10.5</v>
      </c>
    </row>
    <row r="244" spans="1:8" s="1" customFormat="1" ht="125.25" customHeight="1">
      <c r="A244" s="11" t="s">
        <v>185</v>
      </c>
      <c r="B244" s="23" t="s">
        <v>36</v>
      </c>
      <c r="C244" s="32" t="s">
        <v>32</v>
      </c>
      <c r="D244" s="23" t="s">
        <v>29</v>
      </c>
      <c r="E244" s="42" t="s">
        <v>174</v>
      </c>
      <c r="F244" s="23" t="s">
        <v>59</v>
      </c>
      <c r="G244" s="25">
        <f>1748.8+42.1-1066</f>
        <v>724.8999999999999</v>
      </c>
      <c r="H244" s="113">
        <v>724.9</v>
      </c>
    </row>
    <row r="245" spans="1:8" s="1" customFormat="1" ht="90">
      <c r="A245" s="11" t="s">
        <v>165</v>
      </c>
      <c r="B245" s="23" t="s">
        <v>36</v>
      </c>
      <c r="C245" s="32" t="s">
        <v>32</v>
      </c>
      <c r="D245" s="23" t="s">
        <v>29</v>
      </c>
      <c r="E245" s="42" t="s">
        <v>174</v>
      </c>
      <c r="F245" s="23" t="s">
        <v>60</v>
      </c>
      <c r="G245" s="25">
        <f>92.2-70.8</f>
        <v>21.400000000000006</v>
      </c>
      <c r="H245" s="113">
        <v>21.4</v>
      </c>
    </row>
    <row r="246" spans="1:8" s="1" customFormat="1" ht="90.75" customHeight="1">
      <c r="A246" s="11" t="s">
        <v>181</v>
      </c>
      <c r="B246" s="23" t="s">
        <v>36</v>
      </c>
      <c r="C246" s="23" t="s">
        <v>32</v>
      </c>
      <c r="D246" s="23" t="s">
        <v>29</v>
      </c>
      <c r="E246" s="24" t="s">
        <v>182</v>
      </c>
      <c r="F246" s="23" t="s">
        <v>59</v>
      </c>
      <c r="G246" s="25">
        <f>3012.3+70-33</f>
        <v>3049.3</v>
      </c>
      <c r="H246" s="113">
        <v>3048.2</v>
      </c>
    </row>
    <row r="247" spans="1:8" s="1" customFormat="1" ht="55.5" customHeight="1">
      <c r="A247" s="11" t="s">
        <v>183</v>
      </c>
      <c r="B247" s="23" t="s">
        <v>36</v>
      </c>
      <c r="C247" s="23" t="s">
        <v>32</v>
      </c>
      <c r="D247" s="23" t="s">
        <v>29</v>
      </c>
      <c r="E247" s="24" t="s">
        <v>182</v>
      </c>
      <c r="F247" s="23" t="s">
        <v>58</v>
      </c>
      <c r="G247" s="25">
        <f>44.4+(63.6)+60+400.1-4</f>
        <v>564.1</v>
      </c>
      <c r="H247" s="113">
        <v>562.9</v>
      </c>
    </row>
    <row r="248" spans="1:8" s="1" customFormat="1" ht="42.75" customHeight="1">
      <c r="A248" s="11" t="s">
        <v>184</v>
      </c>
      <c r="B248" s="23" t="s">
        <v>36</v>
      </c>
      <c r="C248" s="23" t="s">
        <v>32</v>
      </c>
      <c r="D248" s="23" t="s">
        <v>29</v>
      </c>
      <c r="E248" s="24" t="s">
        <v>182</v>
      </c>
      <c r="F248" s="23" t="s">
        <v>54</v>
      </c>
      <c r="G248" s="25">
        <f>13-11.5</f>
        <v>1.5</v>
      </c>
      <c r="H248" s="113">
        <v>0.1</v>
      </c>
    </row>
    <row r="249" spans="1:8" s="91" customFormat="1" ht="15.75">
      <c r="A249" s="19" t="s">
        <v>15</v>
      </c>
      <c r="B249" s="20" t="s">
        <v>36</v>
      </c>
      <c r="C249" s="39" t="s">
        <v>32</v>
      </c>
      <c r="D249" s="20" t="s">
        <v>24</v>
      </c>
      <c r="E249" s="40"/>
      <c r="F249" s="20"/>
      <c r="G249" s="67">
        <f>G261+G250+G271</f>
        <v>5802.1</v>
      </c>
      <c r="H249" s="67">
        <f>H261+H250+H271</f>
        <v>5696.799999999999</v>
      </c>
    </row>
    <row r="250" spans="1:8" s="91" customFormat="1" ht="15.75">
      <c r="A250" s="11" t="s">
        <v>129</v>
      </c>
      <c r="B250" s="23" t="s">
        <v>36</v>
      </c>
      <c r="C250" s="32" t="s">
        <v>32</v>
      </c>
      <c r="D250" s="23" t="s">
        <v>24</v>
      </c>
      <c r="E250" s="42" t="s">
        <v>28</v>
      </c>
      <c r="F250" s="23"/>
      <c r="G250" s="25">
        <f>G258+G255+G251</f>
        <v>2697.6000000000004</v>
      </c>
      <c r="H250" s="25">
        <f>H258+H255+H251</f>
        <v>2642.4</v>
      </c>
    </row>
    <row r="251" spans="1:8" s="91" customFormat="1" ht="30">
      <c r="A251" s="11" t="s">
        <v>168</v>
      </c>
      <c r="B251" s="23" t="s">
        <v>36</v>
      </c>
      <c r="C251" s="32" t="s">
        <v>32</v>
      </c>
      <c r="D251" s="23" t="s">
        <v>24</v>
      </c>
      <c r="E251" s="42" t="s">
        <v>169</v>
      </c>
      <c r="F251" s="23"/>
      <c r="G251" s="25">
        <f>G252</f>
        <v>1064.3000000000002</v>
      </c>
      <c r="H251" s="25">
        <f>H252</f>
        <v>1044.1000000000001</v>
      </c>
    </row>
    <row r="252" spans="1:8" s="91" customFormat="1" ht="30">
      <c r="A252" s="11" t="s">
        <v>293</v>
      </c>
      <c r="B252" s="23" t="s">
        <v>36</v>
      </c>
      <c r="C252" s="32" t="s">
        <v>32</v>
      </c>
      <c r="D252" s="23" t="s">
        <v>24</v>
      </c>
      <c r="E252" s="42" t="s">
        <v>383</v>
      </c>
      <c r="F252" s="23"/>
      <c r="G252" s="25">
        <f>G253+G254</f>
        <v>1064.3000000000002</v>
      </c>
      <c r="H252" s="25">
        <f>H253+H254</f>
        <v>1044.1000000000001</v>
      </c>
    </row>
    <row r="253" spans="1:8" s="91" customFormat="1" ht="82.5" customHeight="1">
      <c r="A253" s="11" t="s">
        <v>192</v>
      </c>
      <c r="B253" s="23" t="s">
        <v>36</v>
      </c>
      <c r="C253" s="32" t="s">
        <v>32</v>
      </c>
      <c r="D253" s="23" t="s">
        <v>24</v>
      </c>
      <c r="E253" s="42" t="s">
        <v>384</v>
      </c>
      <c r="F253" s="23" t="s">
        <v>59</v>
      </c>
      <c r="G253" s="25">
        <f>1157.7-78.1-27.7-50-39</f>
        <v>962.9000000000001</v>
      </c>
      <c r="H253" s="25">
        <v>962.7</v>
      </c>
    </row>
    <row r="254" spans="1:8" s="91" customFormat="1" ht="60">
      <c r="A254" s="11" t="s">
        <v>319</v>
      </c>
      <c r="B254" s="23" t="s">
        <v>36</v>
      </c>
      <c r="C254" s="32" t="s">
        <v>32</v>
      </c>
      <c r="D254" s="23" t="s">
        <v>24</v>
      </c>
      <c r="E254" s="42" t="s">
        <v>384</v>
      </c>
      <c r="F254" s="23" t="s">
        <v>58</v>
      </c>
      <c r="G254" s="25">
        <f>26.4+25+4+50-4</f>
        <v>101.4</v>
      </c>
      <c r="H254" s="25">
        <v>81.4</v>
      </c>
    </row>
    <row r="255" spans="1:8" s="91" customFormat="1" ht="15.75">
      <c r="A255" s="11" t="s">
        <v>366</v>
      </c>
      <c r="B255" s="23" t="s">
        <v>36</v>
      </c>
      <c r="C255" s="32" t="s">
        <v>32</v>
      </c>
      <c r="D255" s="23" t="s">
        <v>24</v>
      </c>
      <c r="E255" s="42" t="s">
        <v>365</v>
      </c>
      <c r="F255" s="23"/>
      <c r="G255" s="25">
        <f>G256</f>
        <v>1583.3</v>
      </c>
      <c r="H255" s="25">
        <f>H256</f>
        <v>1583.3</v>
      </c>
    </row>
    <row r="256" spans="1:8" s="91" customFormat="1" ht="30">
      <c r="A256" s="11" t="s">
        <v>367</v>
      </c>
      <c r="B256" s="23" t="s">
        <v>36</v>
      </c>
      <c r="C256" s="32" t="s">
        <v>32</v>
      </c>
      <c r="D256" s="23" t="s">
        <v>24</v>
      </c>
      <c r="E256" s="42" t="s">
        <v>368</v>
      </c>
      <c r="F256" s="23"/>
      <c r="G256" s="25">
        <f>G257</f>
        <v>1583.3</v>
      </c>
      <c r="H256" s="25">
        <f>H257</f>
        <v>1583.3</v>
      </c>
    </row>
    <row r="257" spans="1:8" s="91" customFormat="1" ht="30">
      <c r="A257" s="11" t="s">
        <v>370</v>
      </c>
      <c r="B257" s="23" t="s">
        <v>36</v>
      </c>
      <c r="C257" s="32" t="s">
        <v>32</v>
      </c>
      <c r="D257" s="23" t="s">
        <v>24</v>
      </c>
      <c r="E257" s="42" t="s">
        <v>369</v>
      </c>
      <c r="F257" s="23" t="s">
        <v>58</v>
      </c>
      <c r="G257" s="25">
        <f>1951.5-368.2</f>
        <v>1583.3</v>
      </c>
      <c r="H257" s="25">
        <v>1583.3</v>
      </c>
    </row>
    <row r="258" spans="1:8" s="91" customFormat="1" ht="31.5" customHeight="1">
      <c r="A258" s="11" t="s">
        <v>198</v>
      </c>
      <c r="B258" s="23" t="s">
        <v>36</v>
      </c>
      <c r="C258" s="32" t="s">
        <v>32</v>
      </c>
      <c r="D258" s="23" t="s">
        <v>24</v>
      </c>
      <c r="E258" s="42" t="s">
        <v>199</v>
      </c>
      <c r="F258" s="23"/>
      <c r="G258" s="25">
        <f>G259</f>
        <v>50</v>
      </c>
      <c r="H258" s="25">
        <f>H259</f>
        <v>15</v>
      </c>
    </row>
    <row r="259" spans="1:8" s="91" customFormat="1" ht="30">
      <c r="A259" s="11" t="s">
        <v>200</v>
      </c>
      <c r="B259" s="23" t="s">
        <v>36</v>
      </c>
      <c r="C259" s="32" t="s">
        <v>32</v>
      </c>
      <c r="D259" s="23" t="s">
        <v>24</v>
      </c>
      <c r="E259" s="42" t="s">
        <v>201</v>
      </c>
      <c r="F259" s="23"/>
      <c r="G259" s="25">
        <f>G260</f>
        <v>50</v>
      </c>
      <c r="H259" s="25">
        <f>H260</f>
        <v>15</v>
      </c>
    </row>
    <row r="260" spans="1:8" s="71" customFormat="1" ht="45">
      <c r="A260" s="11" t="s">
        <v>320</v>
      </c>
      <c r="B260" s="23" t="s">
        <v>36</v>
      </c>
      <c r="C260" s="32" t="s">
        <v>32</v>
      </c>
      <c r="D260" s="23" t="s">
        <v>24</v>
      </c>
      <c r="E260" s="42" t="s">
        <v>202</v>
      </c>
      <c r="F260" s="23" t="s">
        <v>58</v>
      </c>
      <c r="G260" s="25">
        <v>50</v>
      </c>
      <c r="H260" s="116">
        <v>15</v>
      </c>
    </row>
    <row r="261" spans="1:8" s="2" customFormat="1" ht="15">
      <c r="A261" s="11" t="s">
        <v>129</v>
      </c>
      <c r="B261" s="23" t="s">
        <v>36</v>
      </c>
      <c r="C261" s="32" t="s">
        <v>32</v>
      </c>
      <c r="D261" s="23" t="s">
        <v>24</v>
      </c>
      <c r="E261" s="42" t="s">
        <v>28</v>
      </c>
      <c r="F261" s="23"/>
      <c r="G261" s="25">
        <f>G262</f>
        <v>3064.5</v>
      </c>
      <c r="H261" s="25">
        <f>H262</f>
        <v>3044.3999999999996</v>
      </c>
    </row>
    <row r="262" spans="1:8" s="2" customFormat="1" ht="30">
      <c r="A262" s="11" t="s">
        <v>285</v>
      </c>
      <c r="B262" s="23" t="s">
        <v>36</v>
      </c>
      <c r="C262" s="32" t="s">
        <v>32</v>
      </c>
      <c r="D262" s="23" t="s">
        <v>24</v>
      </c>
      <c r="E262" s="42" t="s">
        <v>187</v>
      </c>
      <c r="F262" s="23"/>
      <c r="G262" s="25">
        <f>G263</f>
        <v>3064.5</v>
      </c>
      <c r="H262" s="25">
        <f>H263</f>
        <v>3044.3999999999996</v>
      </c>
    </row>
    <row r="263" spans="1:8" s="2" customFormat="1" ht="35.25" customHeight="1">
      <c r="A263" s="11" t="s">
        <v>306</v>
      </c>
      <c r="B263" s="23" t="s">
        <v>36</v>
      </c>
      <c r="C263" s="32" t="s">
        <v>32</v>
      </c>
      <c r="D263" s="23" t="s">
        <v>24</v>
      </c>
      <c r="E263" s="42" t="s">
        <v>188</v>
      </c>
      <c r="F263" s="23"/>
      <c r="G263" s="25">
        <f>G264+G265+G266+G267+G268+G269+G270</f>
        <v>3064.5</v>
      </c>
      <c r="H263" s="25">
        <f>H264+H265+H266+H267+H268+H269+H270</f>
        <v>3044.3999999999996</v>
      </c>
    </row>
    <row r="264" spans="1:8" s="1" customFormat="1" ht="139.5" customHeight="1">
      <c r="A264" s="11" t="s">
        <v>189</v>
      </c>
      <c r="B264" s="23" t="s">
        <v>36</v>
      </c>
      <c r="C264" s="23" t="s">
        <v>32</v>
      </c>
      <c r="D264" s="23" t="s">
        <v>24</v>
      </c>
      <c r="E264" s="24" t="s">
        <v>190</v>
      </c>
      <c r="F264" s="32" t="s">
        <v>59</v>
      </c>
      <c r="G264" s="25">
        <v>240</v>
      </c>
      <c r="H264" s="113">
        <v>232.4</v>
      </c>
    </row>
    <row r="265" spans="1:8" s="1" customFormat="1" ht="106.5" customHeight="1">
      <c r="A265" s="11" t="s">
        <v>321</v>
      </c>
      <c r="B265" s="23" t="s">
        <v>36</v>
      </c>
      <c r="C265" s="23" t="s">
        <v>32</v>
      </c>
      <c r="D265" s="23" t="s">
        <v>24</v>
      </c>
      <c r="E265" s="24" t="s">
        <v>190</v>
      </c>
      <c r="F265" s="32" t="s">
        <v>58</v>
      </c>
      <c r="G265" s="25">
        <v>33.9</v>
      </c>
      <c r="H265" s="113">
        <v>22.8</v>
      </c>
    </row>
    <row r="266" spans="1:8" s="1" customFormat="1" ht="90" customHeight="1">
      <c r="A266" s="11" t="s">
        <v>191</v>
      </c>
      <c r="B266" s="23" t="s">
        <v>36</v>
      </c>
      <c r="C266" s="23" t="s">
        <v>32</v>
      </c>
      <c r="D266" s="23" t="s">
        <v>24</v>
      </c>
      <c r="E266" s="24" t="s">
        <v>194</v>
      </c>
      <c r="F266" s="23" t="s">
        <v>59</v>
      </c>
      <c r="G266" s="25">
        <f>1162.4+60+18.1+27.7</f>
        <v>1268.2</v>
      </c>
      <c r="H266" s="113">
        <v>1267.6</v>
      </c>
    </row>
    <row r="267" spans="1:8" s="1" customFormat="1" ht="60">
      <c r="A267" s="11" t="s">
        <v>322</v>
      </c>
      <c r="B267" s="23" t="s">
        <v>36</v>
      </c>
      <c r="C267" s="23" t="s">
        <v>32</v>
      </c>
      <c r="D267" s="23" t="s">
        <v>24</v>
      </c>
      <c r="E267" s="24" t="s">
        <v>194</v>
      </c>
      <c r="F267" s="23" t="s">
        <v>58</v>
      </c>
      <c r="G267" s="25">
        <f>269.4-6.1-37.6</f>
        <v>225.69999999999996</v>
      </c>
      <c r="H267" s="113">
        <v>225</v>
      </c>
    </row>
    <row r="268" spans="1:8" s="1" customFormat="1" ht="44.25" customHeight="1">
      <c r="A268" s="11" t="s">
        <v>193</v>
      </c>
      <c r="B268" s="23" t="s">
        <v>36</v>
      </c>
      <c r="C268" s="23" t="s">
        <v>32</v>
      </c>
      <c r="D268" s="23" t="s">
        <v>24</v>
      </c>
      <c r="E268" s="24" t="s">
        <v>194</v>
      </c>
      <c r="F268" s="23" t="s">
        <v>54</v>
      </c>
      <c r="G268" s="25">
        <f>8.9+6.1</f>
        <v>15</v>
      </c>
      <c r="H268" s="113">
        <v>15</v>
      </c>
    </row>
    <row r="269" spans="1:8" s="1" customFormat="1" ht="95.25" customHeight="1">
      <c r="A269" s="11" t="s">
        <v>89</v>
      </c>
      <c r="B269" s="23" t="s">
        <v>36</v>
      </c>
      <c r="C269" s="23" t="s">
        <v>32</v>
      </c>
      <c r="D269" s="23" t="s">
        <v>24</v>
      </c>
      <c r="E269" s="24" t="s">
        <v>195</v>
      </c>
      <c r="F269" s="23" t="s">
        <v>59</v>
      </c>
      <c r="G269" s="25">
        <f>1221.8+3-0.8-9</f>
        <v>1215</v>
      </c>
      <c r="H269" s="113">
        <v>1214.9</v>
      </c>
    </row>
    <row r="270" spans="1:8" s="1" customFormat="1" ht="60.75" customHeight="1">
      <c r="A270" s="11" t="s">
        <v>94</v>
      </c>
      <c r="B270" s="23" t="s">
        <v>36</v>
      </c>
      <c r="C270" s="23" t="s">
        <v>32</v>
      </c>
      <c r="D270" s="23" t="s">
        <v>24</v>
      </c>
      <c r="E270" s="24" t="s">
        <v>195</v>
      </c>
      <c r="F270" s="23" t="s">
        <v>58</v>
      </c>
      <c r="G270" s="25">
        <f>52.9+20-4-3+0.8</f>
        <v>66.7</v>
      </c>
      <c r="H270" s="113">
        <v>66.7</v>
      </c>
    </row>
    <row r="271" spans="1:8" s="1" customFormat="1" ht="33.75" customHeight="1">
      <c r="A271" s="11" t="s">
        <v>333</v>
      </c>
      <c r="B271" s="23" t="s">
        <v>36</v>
      </c>
      <c r="C271" s="23" t="s">
        <v>32</v>
      </c>
      <c r="D271" s="23" t="s">
        <v>24</v>
      </c>
      <c r="E271" s="24" t="s">
        <v>31</v>
      </c>
      <c r="F271" s="23"/>
      <c r="G271" s="25">
        <f>G272</f>
        <v>40</v>
      </c>
      <c r="H271" s="25">
        <f>H272</f>
        <v>10</v>
      </c>
    </row>
    <row r="272" spans="1:8" s="1" customFormat="1" ht="60.75" customHeight="1">
      <c r="A272" s="11" t="s">
        <v>197</v>
      </c>
      <c r="B272" s="23" t="s">
        <v>36</v>
      </c>
      <c r="C272" s="23" t="s">
        <v>32</v>
      </c>
      <c r="D272" s="23" t="s">
        <v>24</v>
      </c>
      <c r="E272" s="24" t="s">
        <v>208</v>
      </c>
      <c r="F272" s="23"/>
      <c r="G272" s="25">
        <f>G273</f>
        <v>40</v>
      </c>
      <c r="H272" s="25">
        <f>H273</f>
        <v>10</v>
      </c>
    </row>
    <row r="273" spans="1:8" s="1" customFormat="1" ht="57.75" customHeight="1">
      <c r="A273" s="11" t="s">
        <v>329</v>
      </c>
      <c r="B273" s="23" t="s">
        <v>36</v>
      </c>
      <c r="C273" s="23" t="s">
        <v>32</v>
      </c>
      <c r="D273" s="23" t="s">
        <v>24</v>
      </c>
      <c r="E273" s="24" t="s">
        <v>102</v>
      </c>
      <c r="F273" s="23" t="s">
        <v>58</v>
      </c>
      <c r="G273" s="25">
        <v>40</v>
      </c>
      <c r="H273" s="113">
        <v>10</v>
      </c>
    </row>
    <row r="274" spans="1:8" s="1" customFormat="1" ht="14.25">
      <c r="A274" s="15" t="s">
        <v>5</v>
      </c>
      <c r="B274" s="17" t="s">
        <v>36</v>
      </c>
      <c r="C274" s="17" t="s">
        <v>27</v>
      </c>
      <c r="D274" s="17"/>
      <c r="E274" s="18"/>
      <c r="F274" s="17"/>
      <c r="G274" s="16">
        <f>G275+G281</f>
        <v>7425.5</v>
      </c>
      <c r="H274" s="16">
        <f>H275+H281</f>
        <v>7425.5</v>
      </c>
    </row>
    <row r="275" spans="1:8" s="2" customFormat="1" ht="15">
      <c r="A275" s="19" t="s">
        <v>10</v>
      </c>
      <c r="B275" s="20" t="s">
        <v>36</v>
      </c>
      <c r="C275" s="20" t="s">
        <v>27</v>
      </c>
      <c r="D275" s="20" t="s">
        <v>26</v>
      </c>
      <c r="E275" s="21"/>
      <c r="F275" s="20"/>
      <c r="G275" s="22">
        <f aca="true" t="shared" si="8" ref="G275:H277">G276</f>
        <v>6900.5</v>
      </c>
      <c r="H275" s="22">
        <f t="shared" si="8"/>
        <v>6900.5</v>
      </c>
    </row>
    <row r="276" spans="1:8" s="2" customFormat="1" ht="15">
      <c r="A276" s="11" t="s">
        <v>129</v>
      </c>
      <c r="B276" s="23" t="s">
        <v>36</v>
      </c>
      <c r="C276" s="23" t="s">
        <v>27</v>
      </c>
      <c r="D276" s="23" t="s">
        <v>26</v>
      </c>
      <c r="E276" s="24" t="s">
        <v>28</v>
      </c>
      <c r="F276" s="23"/>
      <c r="G276" s="25">
        <f t="shared" si="8"/>
        <v>6900.5</v>
      </c>
      <c r="H276" s="25">
        <f t="shared" si="8"/>
        <v>6900.5</v>
      </c>
    </row>
    <row r="277" spans="1:8" s="2" customFormat="1" ht="30">
      <c r="A277" s="11" t="s">
        <v>168</v>
      </c>
      <c r="B277" s="23" t="s">
        <v>36</v>
      </c>
      <c r="C277" s="23" t="s">
        <v>27</v>
      </c>
      <c r="D277" s="23" t="s">
        <v>26</v>
      </c>
      <c r="E277" s="24" t="s">
        <v>169</v>
      </c>
      <c r="F277" s="23"/>
      <c r="G277" s="25">
        <f t="shared" si="8"/>
        <v>6900.5</v>
      </c>
      <c r="H277" s="25">
        <f t="shared" si="8"/>
        <v>6900.5</v>
      </c>
    </row>
    <row r="278" spans="1:8" s="2" customFormat="1" ht="30">
      <c r="A278" s="11" t="s">
        <v>203</v>
      </c>
      <c r="B278" s="23" t="s">
        <v>36</v>
      </c>
      <c r="C278" s="23" t="s">
        <v>27</v>
      </c>
      <c r="D278" s="23" t="s">
        <v>26</v>
      </c>
      <c r="E278" s="24" t="s">
        <v>286</v>
      </c>
      <c r="F278" s="23"/>
      <c r="G278" s="25">
        <f>G279+G280</f>
        <v>6900.5</v>
      </c>
      <c r="H278" s="25">
        <f>H279+H280</f>
        <v>6900.5</v>
      </c>
    </row>
    <row r="279" spans="1:8" s="1" customFormat="1" ht="78.75" customHeight="1">
      <c r="A279" s="41" t="s">
        <v>290</v>
      </c>
      <c r="B279" s="10">
        <v>354</v>
      </c>
      <c r="C279" s="10">
        <v>10</v>
      </c>
      <c r="D279" s="23" t="s">
        <v>26</v>
      </c>
      <c r="E279" s="41" t="s">
        <v>204</v>
      </c>
      <c r="F279" s="10">
        <v>300</v>
      </c>
      <c r="G279" s="25">
        <f>900-480.5</f>
        <v>419.5</v>
      </c>
      <c r="H279" s="113">
        <v>419.5</v>
      </c>
    </row>
    <row r="280" spans="1:8" s="1" customFormat="1" ht="48.75" customHeight="1">
      <c r="A280" s="11" t="s">
        <v>206</v>
      </c>
      <c r="B280" s="23" t="s">
        <v>36</v>
      </c>
      <c r="C280" s="32" t="s">
        <v>27</v>
      </c>
      <c r="D280" s="23" t="s">
        <v>26</v>
      </c>
      <c r="E280" s="42" t="s">
        <v>205</v>
      </c>
      <c r="F280" s="23" t="s">
        <v>60</v>
      </c>
      <c r="G280" s="25">
        <f>6531-50</f>
        <v>6481</v>
      </c>
      <c r="H280" s="113">
        <v>6481</v>
      </c>
    </row>
    <row r="281" spans="1:8" s="2" customFormat="1" ht="15">
      <c r="A281" s="38" t="s">
        <v>42</v>
      </c>
      <c r="B281" s="39" t="s">
        <v>36</v>
      </c>
      <c r="C281" s="39" t="s">
        <v>27</v>
      </c>
      <c r="D281" s="39" t="s">
        <v>30</v>
      </c>
      <c r="E281" s="70"/>
      <c r="F281" s="30"/>
      <c r="G281" s="22">
        <f aca="true" t="shared" si="9" ref="G281:H283">G282</f>
        <v>525</v>
      </c>
      <c r="H281" s="22">
        <f t="shared" si="9"/>
        <v>525</v>
      </c>
    </row>
    <row r="282" spans="1:8" s="2" customFormat="1" ht="15">
      <c r="A282" s="11" t="s">
        <v>129</v>
      </c>
      <c r="B282" s="23" t="s">
        <v>36</v>
      </c>
      <c r="C282" s="23" t="s">
        <v>27</v>
      </c>
      <c r="D282" s="23" t="s">
        <v>30</v>
      </c>
      <c r="E282" s="24" t="s">
        <v>28</v>
      </c>
      <c r="F282" s="23"/>
      <c r="G282" s="25">
        <f t="shared" si="9"/>
        <v>525</v>
      </c>
      <c r="H282" s="25">
        <f t="shared" si="9"/>
        <v>525</v>
      </c>
    </row>
    <row r="283" spans="1:8" s="2" customFormat="1" ht="30">
      <c r="A283" s="11" t="s">
        <v>168</v>
      </c>
      <c r="B283" s="23" t="s">
        <v>36</v>
      </c>
      <c r="C283" s="23" t="s">
        <v>27</v>
      </c>
      <c r="D283" s="23" t="s">
        <v>30</v>
      </c>
      <c r="E283" s="24" t="s">
        <v>169</v>
      </c>
      <c r="F283" s="23"/>
      <c r="G283" s="25">
        <f t="shared" si="9"/>
        <v>525</v>
      </c>
      <c r="H283" s="25">
        <f t="shared" si="9"/>
        <v>525</v>
      </c>
    </row>
    <row r="284" spans="1:8" s="2" customFormat="1" ht="30">
      <c r="A284" s="11" t="s">
        <v>203</v>
      </c>
      <c r="B284" s="23" t="s">
        <v>36</v>
      </c>
      <c r="C284" s="23" t="s">
        <v>27</v>
      </c>
      <c r="D284" s="23" t="s">
        <v>30</v>
      </c>
      <c r="E284" s="24" t="s">
        <v>286</v>
      </c>
      <c r="F284" s="23"/>
      <c r="G284" s="25">
        <f>G285+G286</f>
        <v>525</v>
      </c>
      <c r="H284" s="25">
        <f>H285+H286</f>
        <v>525</v>
      </c>
    </row>
    <row r="285" spans="1:8" s="1" customFormat="1" ht="66.75" customHeight="1">
      <c r="A285" s="11" t="s">
        <v>323</v>
      </c>
      <c r="B285" s="23" t="s">
        <v>36</v>
      </c>
      <c r="C285" s="32" t="s">
        <v>27</v>
      </c>
      <c r="D285" s="23" t="s">
        <v>30</v>
      </c>
      <c r="E285" s="42" t="s">
        <v>275</v>
      </c>
      <c r="F285" s="23" t="s">
        <v>58</v>
      </c>
      <c r="G285" s="25">
        <v>262.5</v>
      </c>
      <c r="H285" s="113">
        <v>262.5</v>
      </c>
    </row>
    <row r="286" spans="1:8" s="1" customFormat="1" ht="62.25" customHeight="1">
      <c r="A286" s="11" t="s">
        <v>324</v>
      </c>
      <c r="B286" s="23" t="s">
        <v>36</v>
      </c>
      <c r="C286" s="32" t="s">
        <v>27</v>
      </c>
      <c r="D286" s="23" t="s">
        <v>30</v>
      </c>
      <c r="E286" s="42" t="s">
        <v>276</v>
      </c>
      <c r="F286" s="23" t="s">
        <v>58</v>
      </c>
      <c r="G286" s="25">
        <v>262.5</v>
      </c>
      <c r="H286" s="113">
        <v>262.5</v>
      </c>
    </row>
    <row r="287" spans="1:8" s="1" customFormat="1" ht="28.5">
      <c r="A287" s="15" t="s">
        <v>49</v>
      </c>
      <c r="B287" s="17" t="s">
        <v>44</v>
      </c>
      <c r="C287" s="17"/>
      <c r="D287" s="17"/>
      <c r="E287" s="18"/>
      <c r="F287" s="17"/>
      <c r="G287" s="16">
        <f>G288</f>
        <v>3472.2</v>
      </c>
      <c r="H287" s="16">
        <f>H288</f>
        <v>3439.4000000000005</v>
      </c>
    </row>
    <row r="288" spans="1:8" s="1" customFormat="1" ht="14.25">
      <c r="A288" s="15" t="s">
        <v>63</v>
      </c>
      <c r="B288" s="17" t="s">
        <v>44</v>
      </c>
      <c r="C288" s="17" t="s">
        <v>25</v>
      </c>
      <c r="D288" s="17"/>
      <c r="E288" s="18"/>
      <c r="F288" s="17"/>
      <c r="G288" s="16">
        <f>G289+G300</f>
        <v>3472.2</v>
      </c>
      <c r="H288" s="16">
        <f>H289+H300</f>
        <v>3439.4000000000005</v>
      </c>
    </row>
    <row r="289" spans="1:8" s="2" customFormat="1" ht="46.5" customHeight="1">
      <c r="A289" s="19" t="s">
        <v>64</v>
      </c>
      <c r="B289" s="20" t="s">
        <v>44</v>
      </c>
      <c r="C289" s="20" t="s">
        <v>25</v>
      </c>
      <c r="D289" s="20" t="s">
        <v>28</v>
      </c>
      <c r="E289" s="21"/>
      <c r="F289" s="20"/>
      <c r="G289" s="22">
        <f>G290+G293+G296</f>
        <v>2076.4</v>
      </c>
      <c r="H289" s="22">
        <f>H290+H293+H296</f>
        <v>2046.0000000000002</v>
      </c>
    </row>
    <row r="290" spans="1:8" s="2" customFormat="1" ht="35.25" customHeight="1">
      <c r="A290" s="11" t="s">
        <v>213</v>
      </c>
      <c r="B290" s="23" t="s">
        <v>44</v>
      </c>
      <c r="C290" s="23" t="s">
        <v>25</v>
      </c>
      <c r="D290" s="23" t="s">
        <v>28</v>
      </c>
      <c r="E290" s="24" t="s">
        <v>214</v>
      </c>
      <c r="F290" s="23"/>
      <c r="G290" s="25">
        <f>G291</f>
        <v>601.6</v>
      </c>
      <c r="H290" s="25">
        <f>H291</f>
        <v>597.6</v>
      </c>
    </row>
    <row r="291" spans="1:8" s="2" customFormat="1" ht="19.5" customHeight="1">
      <c r="A291" s="11" t="s">
        <v>78</v>
      </c>
      <c r="B291" s="23" t="s">
        <v>44</v>
      </c>
      <c r="C291" s="23" t="s">
        <v>25</v>
      </c>
      <c r="D291" s="23" t="s">
        <v>28</v>
      </c>
      <c r="E291" s="24" t="s">
        <v>215</v>
      </c>
      <c r="F291" s="23"/>
      <c r="G291" s="25">
        <f>G292</f>
        <v>601.6</v>
      </c>
      <c r="H291" s="25">
        <f>H292</f>
        <v>597.6</v>
      </c>
    </row>
    <row r="292" spans="1:8" s="1" customFormat="1" ht="93.75" customHeight="1">
      <c r="A292" s="11" t="s">
        <v>93</v>
      </c>
      <c r="B292" s="23" t="s">
        <v>44</v>
      </c>
      <c r="C292" s="23" t="s">
        <v>12</v>
      </c>
      <c r="D292" s="23" t="s">
        <v>28</v>
      </c>
      <c r="E292" s="24" t="s">
        <v>221</v>
      </c>
      <c r="F292" s="23" t="s">
        <v>59</v>
      </c>
      <c r="G292" s="25">
        <f>626.5-24.9</f>
        <v>601.6</v>
      </c>
      <c r="H292" s="113">
        <v>597.6</v>
      </c>
    </row>
    <row r="293" spans="1:8" s="1" customFormat="1" ht="39" customHeight="1">
      <c r="A293" s="11" t="s">
        <v>217</v>
      </c>
      <c r="B293" s="23" t="s">
        <v>44</v>
      </c>
      <c r="C293" s="23" t="s">
        <v>25</v>
      </c>
      <c r="D293" s="23" t="s">
        <v>28</v>
      </c>
      <c r="E293" s="24" t="s">
        <v>218</v>
      </c>
      <c r="F293" s="23"/>
      <c r="G293" s="25">
        <f>G294</f>
        <v>565.7</v>
      </c>
      <c r="H293" s="25">
        <f>H294</f>
        <v>565.7</v>
      </c>
    </row>
    <row r="294" spans="1:8" s="1" customFormat="1" ht="17.25" customHeight="1">
      <c r="A294" s="11" t="s">
        <v>78</v>
      </c>
      <c r="B294" s="23" t="s">
        <v>44</v>
      </c>
      <c r="C294" s="23" t="s">
        <v>25</v>
      </c>
      <c r="D294" s="23" t="s">
        <v>28</v>
      </c>
      <c r="E294" s="24" t="s">
        <v>219</v>
      </c>
      <c r="F294" s="23"/>
      <c r="G294" s="25">
        <f>G295</f>
        <v>565.7</v>
      </c>
      <c r="H294" s="25">
        <f>H295</f>
        <v>565.7</v>
      </c>
    </row>
    <row r="295" spans="1:8" s="1" customFormat="1" ht="90" customHeight="1">
      <c r="A295" s="11" t="s">
        <v>93</v>
      </c>
      <c r="B295" s="23" t="s">
        <v>44</v>
      </c>
      <c r="C295" s="23" t="s">
        <v>12</v>
      </c>
      <c r="D295" s="23" t="s">
        <v>28</v>
      </c>
      <c r="E295" s="24" t="s">
        <v>220</v>
      </c>
      <c r="F295" s="23" t="s">
        <v>59</v>
      </c>
      <c r="G295" s="25">
        <f>556.2+9.5</f>
        <v>565.7</v>
      </c>
      <c r="H295" s="113">
        <v>565.7</v>
      </c>
    </row>
    <row r="296" spans="1:8" s="1" customFormat="1" ht="33.75" customHeight="1">
      <c r="A296" s="11" t="s">
        <v>216</v>
      </c>
      <c r="B296" s="23" t="s">
        <v>44</v>
      </c>
      <c r="C296" s="23" t="s">
        <v>25</v>
      </c>
      <c r="D296" s="23" t="s">
        <v>28</v>
      </c>
      <c r="E296" s="24" t="s">
        <v>222</v>
      </c>
      <c r="F296" s="23"/>
      <c r="G296" s="25">
        <f>G297</f>
        <v>909.0999999999999</v>
      </c>
      <c r="H296" s="25">
        <f>H297</f>
        <v>882.7</v>
      </c>
    </row>
    <row r="297" spans="1:8" s="1" customFormat="1" ht="22.5" customHeight="1">
      <c r="A297" s="11" t="s">
        <v>78</v>
      </c>
      <c r="B297" s="23" t="s">
        <v>44</v>
      </c>
      <c r="C297" s="23" t="s">
        <v>25</v>
      </c>
      <c r="D297" s="23" t="s">
        <v>28</v>
      </c>
      <c r="E297" s="24" t="s">
        <v>223</v>
      </c>
      <c r="F297" s="23"/>
      <c r="G297" s="25">
        <f>G298+G299</f>
        <v>909.0999999999999</v>
      </c>
      <c r="H297" s="25">
        <f>H298+H299</f>
        <v>882.7</v>
      </c>
    </row>
    <row r="298" spans="1:8" s="1" customFormat="1" ht="90.75" customHeight="1">
      <c r="A298" s="11" t="s">
        <v>93</v>
      </c>
      <c r="B298" s="23" t="s">
        <v>44</v>
      </c>
      <c r="C298" s="23" t="s">
        <v>25</v>
      </c>
      <c r="D298" s="23" t="s">
        <v>28</v>
      </c>
      <c r="E298" s="24" t="s">
        <v>224</v>
      </c>
      <c r="F298" s="23" t="s">
        <v>59</v>
      </c>
      <c r="G298" s="25">
        <f>417.2+15.4</f>
        <v>432.59999999999997</v>
      </c>
      <c r="H298" s="113">
        <v>432.4</v>
      </c>
    </row>
    <row r="299" spans="1:8" s="1" customFormat="1" ht="66" customHeight="1">
      <c r="A299" s="11" t="s">
        <v>325</v>
      </c>
      <c r="B299" s="23" t="s">
        <v>44</v>
      </c>
      <c r="C299" s="23" t="s">
        <v>12</v>
      </c>
      <c r="D299" s="23" t="s">
        <v>28</v>
      </c>
      <c r="E299" s="24" t="s">
        <v>224</v>
      </c>
      <c r="F299" s="23" t="s">
        <v>58</v>
      </c>
      <c r="G299" s="25">
        <f>345.1+120+11.4</f>
        <v>476.5</v>
      </c>
      <c r="H299" s="113">
        <v>450.3</v>
      </c>
    </row>
    <row r="300" spans="1:8" s="2" customFormat="1" ht="34.5" customHeight="1">
      <c r="A300" s="19" t="s">
        <v>0</v>
      </c>
      <c r="B300" s="20" t="s">
        <v>44</v>
      </c>
      <c r="C300" s="20" t="s">
        <v>25</v>
      </c>
      <c r="D300" s="20" t="s">
        <v>30</v>
      </c>
      <c r="E300" s="21"/>
      <c r="F300" s="20"/>
      <c r="G300" s="22">
        <f>G301+G304</f>
        <v>1395.8</v>
      </c>
      <c r="H300" s="22">
        <f>H301+H304</f>
        <v>1393.4</v>
      </c>
    </row>
    <row r="301" spans="1:8" s="2" customFormat="1" ht="34.5" customHeight="1">
      <c r="A301" s="11" t="s">
        <v>225</v>
      </c>
      <c r="B301" s="23" t="s">
        <v>44</v>
      </c>
      <c r="C301" s="23" t="s">
        <v>25</v>
      </c>
      <c r="D301" s="23" t="s">
        <v>30</v>
      </c>
      <c r="E301" s="24" t="s">
        <v>226</v>
      </c>
      <c r="F301" s="23"/>
      <c r="G301" s="25">
        <f>G302</f>
        <v>519.4</v>
      </c>
      <c r="H301" s="25">
        <f>H302</f>
        <v>517.9</v>
      </c>
    </row>
    <row r="302" spans="1:8" s="2" customFormat="1" ht="24.75" customHeight="1">
      <c r="A302" s="11" t="s">
        <v>78</v>
      </c>
      <c r="B302" s="23" t="s">
        <v>44</v>
      </c>
      <c r="C302" s="23" t="s">
        <v>25</v>
      </c>
      <c r="D302" s="23" t="s">
        <v>30</v>
      </c>
      <c r="E302" s="24" t="s">
        <v>227</v>
      </c>
      <c r="F302" s="23"/>
      <c r="G302" s="25">
        <f>G303</f>
        <v>519.4</v>
      </c>
      <c r="H302" s="25">
        <f>H303</f>
        <v>517.9</v>
      </c>
    </row>
    <row r="303" spans="1:8" s="1" customFormat="1" ht="90">
      <c r="A303" s="11" t="s">
        <v>93</v>
      </c>
      <c r="B303" s="23" t="s">
        <v>44</v>
      </c>
      <c r="C303" s="23" t="s">
        <v>25</v>
      </c>
      <c r="D303" s="23" t="s">
        <v>30</v>
      </c>
      <c r="E303" s="24" t="s">
        <v>228</v>
      </c>
      <c r="F303" s="23" t="s">
        <v>59</v>
      </c>
      <c r="G303" s="25">
        <f>492.2+27.2</f>
        <v>519.4</v>
      </c>
      <c r="H303" s="113">
        <v>517.9</v>
      </c>
    </row>
    <row r="304" spans="1:8" s="1" customFormat="1" ht="30">
      <c r="A304" s="11" t="s">
        <v>229</v>
      </c>
      <c r="B304" s="23" t="s">
        <v>44</v>
      </c>
      <c r="C304" s="23" t="s">
        <v>25</v>
      </c>
      <c r="D304" s="23" t="s">
        <v>30</v>
      </c>
      <c r="E304" s="24" t="s">
        <v>230</v>
      </c>
      <c r="F304" s="23"/>
      <c r="G304" s="25">
        <f>G305</f>
        <v>876.4</v>
      </c>
      <c r="H304" s="25">
        <f>H305</f>
        <v>875.5000000000001</v>
      </c>
    </row>
    <row r="305" spans="1:8" s="1" customFormat="1" ht="15">
      <c r="A305" s="11" t="s">
        <v>78</v>
      </c>
      <c r="B305" s="23" t="s">
        <v>44</v>
      </c>
      <c r="C305" s="23" t="s">
        <v>25</v>
      </c>
      <c r="D305" s="23" t="s">
        <v>30</v>
      </c>
      <c r="E305" s="24" t="s">
        <v>231</v>
      </c>
      <c r="F305" s="23"/>
      <c r="G305" s="25">
        <f>G306+G307+G308</f>
        <v>876.4</v>
      </c>
      <c r="H305" s="25">
        <f>H306+H307+H308</f>
        <v>875.5000000000001</v>
      </c>
    </row>
    <row r="306" spans="1:8" s="1" customFormat="1" ht="90">
      <c r="A306" s="11" t="s">
        <v>93</v>
      </c>
      <c r="B306" s="23" t="s">
        <v>44</v>
      </c>
      <c r="C306" s="23" t="s">
        <v>25</v>
      </c>
      <c r="D306" s="23" t="s">
        <v>30</v>
      </c>
      <c r="E306" s="24" t="s">
        <v>232</v>
      </c>
      <c r="F306" s="23" t="s">
        <v>59</v>
      </c>
      <c r="G306" s="25">
        <f>640.5+42.8-1.9</f>
        <v>681.4</v>
      </c>
      <c r="H306" s="113">
        <v>680.7</v>
      </c>
    </row>
    <row r="307" spans="1:8" s="1" customFormat="1" ht="60">
      <c r="A307" s="11" t="s">
        <v>94</v>
      </c>
      <c r="B307" s="23" t="s">
        <v>44</v>
      </c>
      <c r="C307" s="23" t="s">
        <v>25</v>
      </c>
      <c r="D307" s="23" t="s">
        <v>30</v>
      </c>
      <c r="E307" s="24" t="s">
        <v>232</v>
      </c>
      <c r="F307" s="23" t="s">
        <v>58</v>
      </c>
      <c r="G307" s="25">
        <f>132.2+129.1-1.8-70+7+1.9+2.5-5-1.5</f>
        <v>194.39999999999995</v>
      </c>
      <c r="H307" s="113">
        <v>194.2</v>
      </c>
    </row>
    <row r="308" spans="1:8" s="1" customFormat="1" ht="45">
      <c r="A308" s="41" t="s">
        <v>272</v>
      </c>
      <c r="B308" s="23" t="s">
        <v>44</v>
      </c>
      <c r="C308" s="23" t="s">
        <v>25</v>
      </c>
      <c r="D308" s="23" t="s">
        <v>30</v>
      </c>
      <c r="E308" s="24" t="s">
        <v>233</v>
      </c>
      <c r="F308" s="23" t="s">
        <v>54</v>
      </c>
      <c r="G308" s="25">
        <f>3.1-2.5</f>
        <v>0.6000000000000001</v>
      </c>
      <c r="H308" s="113">
        <v>0.6</v>
      </c>
    </row>
    <row r="309" spans="1:8" s="1" customFormat="1" ht="36" customHeight="1">
      <c r="A309" s="14" t="s">
        <v>50</v>
      </c>
      <c r="B309" s="36" t="s">
        <v>45</v>
      </c>
      <c r="C309" s="36"/>
      <c r="D309" s="36"/>
      <c r="E309" s="37"/>
      <c r="F309" s="36"/>
      <c r="G309" s="16">
        <f>G310</f>
        <v>92562.20000000001</v>
      </c>
      <c r="H309" s="16">
        <f>H310</f>
        <v>91702.29999999999</v>
      </c>
    </row>
    <row r="310" spans="1:8" s="1" customFormat="1" ht="14.25">
      <c r="A310" s="15" t="s">
        <v>5</v>
      </c>
      <c r="B310" s="17" t="s">
        <v>45</v>
      </c>
      <c r="C310" s="17" t="s">
        <v>27</v>
      </c>
      <c r="D310" s="17"/>
      <c r="E310" s="18"/>
      <c r="F310" s="17"/>
      <c r="G310" s="16">
        <f>G311+G315+G350+G334+G345</f>
        <v>92562.20000000001</v>
      </c>
      <c r="H310" s="16">
        <f>H311+H315+H350+H334+H345</f>
        <v>91702.29999999999</v>
      </c>
    </row>
    <row r="311" spans="1:8" s="2" customFormat="1" ht="15">
      <c r="A311" s="38" t="s">
        <v>37</v>
      </c>
      <c r="B311" s="39" t="s">
        <v>45</v>
      </c>
      <c r="C311" s="39" t="s">
        <v>27</v>
      </c>
      <c r="D311" s="39" t="s">
        <v>25</v>
      </c>
      <c r="E311" s="40"/>
      <c r="F311" s="39"/>
      <c r="G311" s="22">
        <f aca="true" t="shared" si="10" ref="G311:H313">G312</f>
        <v>1564</v>
      </c>
      <c r="H311" s="22">
        <f t="shared" si="10"/>
        <v>1492.2</v>
      </c>
    </row>
    <row r="312" spans="1:8" s="1" customFormat="1" ht="21.75" customHeight="1">
      <c r="A312" s="11" t="s">
        <v>90</v>
      </c>
      <c r="B312" s="23" t="s">
        <v>45</v>
      </c>
      <c r="C312" s="23" t="s">
        <v>27</v>
      </c>
      <c r="D312" s="23" t="s">
        <v>25</v>
      </c>
      <c r="E312" s="24" t="s">
        <v>87</v>
      </c>
      <c r="F312" s="36"/>
      <c r="G312" s="16">
        <f t="shared" si="10"/>
        <v>1564</v>
      </c>
      <c r="H312" s="16">
        <f t="shared" si="10"/>
        <v>1492.2</v>
      </c>
    </row>
    <row r="313" spans="1:8" s="1" customFormat="1" ht="12.75" customHeight="1">
      <c r="A313" s="11" t="s">
        <v>78</v>
      </c>
      <c r="B313" s="23" t="s">
        <v>45</v>
      </c>
      <c r="C313" s="23" t="s">
        <v>27</v>
      </c>
      <c r="D313" s="23" t="s">
        <v>25</v>
      </c>
      <c r="E313" s="24" t="s">
        <v>92</v>
      </c>
      <c r="F313" s="36"/>
      <c r="G313" s="16">
        <f t="shared" si="10"/>
        <v>1564</v>
      </c>
      <c r="H313" s="16">
        <f t="shared" si="10"/>
        <v>1492.2</v>
      </c>
    </row>
    <row r="314" spans="1:8" s="1" customFormat="1" ht="39" customHeight="1">
      <c r="A314" s="41" t="s">
        <v>274</v>
      </c>
      <c r="B314" s="32" t="s">
        <v>45</v>
      </c>
      <c r="C314" s="32" t="s">
        <v>27</v>
      </c>
      <c r="D314" s="32" t="s">
        <v>25</v>
      </c>
      <c r="E314" s="42" t="s">
        <v>234</v>
      </c>
      <c r="F314" s="32" t="s">
        <v>60</v>
      </c>
      <c r="G314" s="25">
        <v>1564</v>
      </c>
      <c r="H314" s="113">
        <v>1492.2</v>
      </c>
    </row>
    <row r="315" spans="1:8" s="2" customFormat="1" ht="15">
      <c r="A315" s="38" t="s">
        <v>17</v>
      </c>
      <c r="B315" s="39" t="s">
        <v>45</v>
      </c>
      <c r="C315" s="39" t="s">
        <v>27</v>
      </c>
      <c r="D315" s="39" t="s">
        <v>28</v>
      </c>
      <c r="E315" s="40"/>
      <c r="F315" s="39"/>
      <c r="G315" s="22">
        <f aca="true" t="shared" si="11" ref="G315:H317">G316</f>
        <v>64276.5</v>
      </c>
      <c r="H315" s="22">
        <f t="shared" si="11"/>
        <v>63529.299999999996</v>
      </c>
    </row>
    <row r="316" spans="1:8" s="2" customFormat="1" ht="36" customHeight="1">
      <c r="A316" s="41" t="s">
        <v>235</v>
      </c>
      <c r="B316" s="32" t="s">
        <v>45</v>
      </c>
      <c r="C316" s="32" t="s">
        <v>27</v>
      </c>
      <c r="D316" s="32" t="s">
        <v>28</v>
      </c>
      <c r="E316" s="42" t="s">
        <v>25</v>
      </c>
      <c r="F316" s="32"/>
      <c r="G316" s="25">
        <f t="shared" si="11"/>
        <v>64276.5</v>
      </c>
      <c r="H316" s="25">
        <f t="shared" si="11"/>
        <v>63529.299999999996</v>
      </c>
    </row>
    <row r="317" spans="1:8" s="2" customFormat="1" ht="30">
      <c r="A317" s="41" t="s">
        <v>236</v>
      </c>
      <c r="B317" s="32" t="s">
        <v>45</v>
      </c>
      <c r="C317" s="32" t="s">
        <v>27</v>
      </c>
      <c r="D317" s="32" t="s">
        <v>28</v>
      </c>
      <c r="E317" s="42" t="s">
        <v>237</v>
      </c>
      <c r="F317" s="32"/>
      <c r="G317" s="25">
        <f t="shared" si="11"/>
        <v>64276.5</v>
      </c>
      <c r="H317" s="25">
        <f t="shared" si="11"/>
        <v>63529.299999999996</v>
      </c>
    </row>
    <row r="318" spans="1:8" s="2" customFormat="1" ht="30">
      <c r="A318" s="41" t="s">
        <v>336</v>
      </c>
      <c r="B318" s="32" t="s">
        <v>45</v>
      </c>
      <c r="C318" s="32" t="s">
        <v>27</v>
      </c>
      <c r="D318" s="32" t="s">
        <v>28</v>
      </c>
      <c r="E318" s="42" t="s">
        <v>238</v>
      </c>
      <c r="F318" s="32"/>
      <c r="G318" s="25">
        <f>SUM(G319:G333)</f>
        <v>64276.5</v>
      </c>
      <c r="H318" s="25">
        <f>SUM(H319:H333)</f>
        <v>63529.299999999996</v>
      </c>
    </row>
    <row r="319" spans="1:8" s="1" customFormat="1" ht="39.75" customHeight="1">
      <c r="A319" s="41" t="s">
        <v>239</v>
      </c>
      <c r="B319" s="32" t="s">
        <v>45</v>
      </c>
      <c r="C319" s="32" t="s">
        <v>27</v>
      </c>
      <c r="D319" s="32" t="s">
        <v>28</v>
      </c>
      <c r="E319" s="42" t="s">
        <v>363</v>
      </c>
      <c r="F319" s="32" t="s">
        <v>60</v>
      </c>
      <c r="G319" s="25">
        <f>250.4-60-6.4</f>
        <v>184</v>
      </c>
      <c r="H319" s="113">
        <v>116.1</v>
      </c>
    </row>
    <row r="320" spans="1:8" s="1" customFormat="1" ht="61.5" customHeight="1">
      <c r="A320" s="41" t="s">
        <v>356</v>
      </c>
      <c r="B320" s="32" t="s">
        <v>45</v>
      </c>
      <c r="C320" s="32" t="s">
        <v>27</v>
      </c>
      <c r="D320" s="32" t="s">
        <v>28</v>
      </c>
      <c r="E320" s="42" t="s">
        <v>309</v>
      </c>
      <c r="F320" s="32" t="s">
        <v>58</v>
      </c>
      <c r="G320" s="25">
        <f>110.8-4-20.8</f>
        <v>86</v>
      </c>
      <c r="H320" s="113">
        <v>86</v>
      </c>
    </row>
    <row r="321" spans="1:8" s="1" customFormat="1" ht="46.5" customHeight="1">
      <c r="A321" s="41" t="s">
        <v>308</v>
      </c>
      <c r="B321" s="32" t="s">
        <v>45</v>
      </c>
      <c r="C321" s="32" t="s">
        <v>27</v>
      </c>
      <c r="D321" s="32" t="s">
        <v>28</v>
      </c>
      <c r="E321" s="42" t="s">
        <v>309</v>
      </c>
      <c r="F321" s="32" t="s">
        <v>60</v>
      </c>
      <c r="G321" s="25">
        <f>16000-110.8+2200+4+20.8</f>
        <v>18114</v>
      </c>
      <c r="H321" s="113">
        <v>18107.9</v>
      </c>
    </row>
    <row r="322" spans="1:8" s="1" customFormat="1" ht="57.75" customHeight="1">
      <c r="A322" s="41" t="s">
        <v>467</v>
      </c>
      <c r="B322" s="32" t="s">
        <v>45</v>
      </c>
      <c r="C322" s="32" t="s">
        <v>27</v>
      </c>
      <c r="D322" s="32" t="s">
        <v>28</v>
      </c>
      <c r="E322" s="42" t="s">
        <v>452</v>
      </c>
      <c r="F322" s="32" t="s">
        <v>60</v>
      </c>
      <c r="G322" s="25">
        <v>622</v>
      </c>
      <c r="H322" s="113">
        <v>15.1</v>
      </c>
    </row>
    <row r="323" spans="1:8" s="1" customFormat="1" ht="60.75" customHeight="1">
      <c r="A323" s="41" t="s">
        <v>468</v>
      </c>
      <c r="B323" s="32" t="s">
        <v>45</v>
      </c>
      <c r="C323" s="32" t="s">
        <v>27</v>
      </c>
      <c r="D323" s="32" t="s">
        <v>28</v>
      </c>
      <c r="E323" s="42" t="s">
        <v>465</v>
      </c>
      <c r="F323" s="32" t="s">
        <v>60</v>
      </c>
      <c r="G323" s="25">
        <v>50</v>
      </c>
      <c r="H323" s="113">
        <v>0</v>
      </c>
    </row>
    <row r="324" spans="1:8" s="1" customFormat="1" ht="46.5" customHeight="1">
      <c r="A324" s="41" t="s">
        <v>357</v>
      </c>
      <c r="B324" s="32" t="s">
        <v>45</v>
      </c>
      <c r="C324" s="32" t="s">
        <v>27</v>
      </c>
      <c r="D324" s="32" t="s">
        <v>28</v>
      </c>
      <c r="E324" s="42" t="s">
        <v>240</v>
      </c>
      <c r="F324" s="32" t="s">
        <v>58</v>
      </c>
      <c r="G324" s="25">
        <f>188.4-23</f>
        <v>165.4</v>
      </c>
      <c r="H324" s="113">
        <v>165.4</v>
      </c>
    </row>
    <row r="325" spans="1:8" s="1" customFormat="1" ht="46.5" customHeight="1">
      <c r="A325" s="41" t="s">
        <v>453</v>
      </c>
      <c r="B325" s="32" t="s">
        <v>45</v>
      </c>
      <c r="C325" s="32" t="s">
        <v>27</v>
      </c>
      <c r="D325" s="32" t="s">
        <v>28</v>
      </c>
      <c r="E325" s="42" t="s">
        <v>240</v>
      </c>
      <c r="F325" s="32" t="s">
        <v>60</v>
      </c>
      <c r="G325" s="25">
        <f>2500-188.4-500+20+23+158</f>
        <v>2012.6</v>
      </c>
      <c r="H325" s="113">
        <v>2012.3</v>
      </c>
    </row>
    <row r="326" spans="1:8" s="1" customFormat="1" ht="63.75" customHeight="1">
      <c r="A326" s="41" t="s">
        <v>353</v>
      </c>
      <c r="B326" s="32" t="s">
        <v>45</v>
      </c>
      <c r="C326" s="32" t="s">
        <v>27</v>
      </c>
      <c r="D326" s="32" t="s">
        <v>28</v>
      </c>
      <c r="E326" s="42" t="s">
        <v>242</v>
      </c>
      <c r="F326" s="32" t="s">
        <v>58</v>
      </c>
      <c r="G326" s="25">
        <f>9.8-2</f>
        <v>7.800000000000001</v>
      </c>
      <c r="H326" s="113">
        <v>7.5</v>
      </c>
    </row>
    <row r="327" spans="1:9" s="1" customFormat="1" ht="52.5" customHeight="1">
      <c r="A327" s="41" t="s">
        <v>241</v>
      </c>
      <c r="B327" s="32" t="s">
        <v>45</v>
      </c>
      <c r="C327" s="32" t="s">
        <v>27</v>
      </c>
      <c r="D327" s="32" t="s">
        <v>28</v>
      </c>
      <c r="E327" s="42" t="s">
        <v>242</v>
      </c>
      <c r="F327" s="32" t="s">
        <v>60</v>
      </c>
      <c r="G327" s="25">
        <f>4634.3-9.8-244.9-296+1060.8+143+2-0.1</f>
        <v>5289.3</v>
      </c>
      <c r="H327" s="113">
        <v>5287.8</v>
      </c>
      <c r="I327" s="97">
        <v>-0.1</v>
      </c>
    </row>
    <row r="328" spans="1:9" s="1" customFormat="1" ht="62.25" customHeight="1">
      <c r="A328" s="41" t="s">
        <v>354</v>
      </c>
      <c r="B328" s="32" t="s">
        <v>45</v>
      </c>
      <c r="C328" s="32" t="s">
        <v>27</v>
      </c>
      <c r="D328" s="32" t="s">
        <v>28</v>
      </c>
      <c r="E328" s="42" t="s">
        <v>244</v>
      </c>
      <c r="F328" s="32" t="s">
        <v>58</v>
      </c>
      <c r="G328" s="25">
        <f>66.9-10-16.9+0.1</f>
        <v>40.10000000000001</v>
      </c>
      <c r="H328" s="113">
        <v>40.1</v>
      </c>
      <c r="I328" s="1">
        <v>0.1</v>
      </c>
    </row>
    <row r="329" spans="1:9" s="1" customFormat="1" ht="54.75" customHeight="1">
      <c r="A329" s="41" t="s">
        <v>243</v>
      </c>
      <c r="B329" s="32" t="s">
        <v>45</v>
      </c>
      <c r="C329" s="32" t="s">
        <v>27</v>
      </c>
      <c r="D329" s="32" t="s">
        <v>28</v>
      </c>
      <c r="E329" s="42" t="s">
        <v>244</v>
      </c>
      <c r="F329" s="32" t="s">
        <v>60</v>
      </c>
      <c r="G329" s="25">
        <f>16277.1-66.9-1990+1039-343.4-16.4+767+16.9-0.2</f>
        <v>15683.1</v>
      </c>
      <c r="H329" s="113">
        <v>15675.7</v>
      </c>
      <c r="I329" s="1">
        <v>-0.2</v>
      </c>
    </row>
    <row r="330" spans="1:8" s="1" customFormat="1" ht="54.75" customHeight="1">
      <c r="A330" s="41" t="s">
        <v>355</v>
      </c>
      <c r="B330" s="32" t="s">
        <v>45</v>
      </c>
      <c r="C330" s="32" t="s">
        <v>27</v>
      </c>
      <c r="D330" s="32" t="s">
        <v>28</v>
      </c>
      <c r="E330" s="42" t="s">
        <v>245</v>
      </c>
      <c r="F330" s="32" t="s">
        <v>58</v>
      </c>
      <c r="G330" s="25">
        <f>46.3-11.4</f>
        <v>34.9</v>
      </c>
      <c r="H330" s="113">
        <v>34.9</v>
      </c>
    </row>
    <row r="331" spans="1:8" s="1" customFormat="1" ht="49.5" customHeight="1">
      <c r="A331" s="41" t="s">
        <v>307</v>
      </c>
      <c r="B331" s="32" t="s">
        <v>45</v>
      </c>
      <c r="C331" s="32" t="s">
        <v>27</v>
      </c>
      <c r="D331" s="32" t="s">
        <v>28</v>
      </c>
      <c r="E331" s="42" t="s">
        <v>245</v>
      </c>
      <c r="F331" s="32" t="s">
        <v>60</v>
      </c>
      <c r="G331" s="25">
        <f>8334.6-46.3-511-17.1-96.2-20+753+11.4</f>
        <v>8408.4</v>
      </c>
      <c r="H331" s="113">
        <v>8401.6</v>
      </c>
    </row>
    <row r="332" spans="1:8" s="1" customFormat="1" ht="45">
      <c r="A332" s="41" t="s">
        <v>283</v>
      </c>
      <c r="B332" s="32" t="s">
        <v>45</v>
      </c>
      <c r="C332" s="32" t="s">
        <v>27</v>
      </c>
      <c r="D332" s="32" t="s">
        <v>28</v>
      </c>
      <c r="E332" s="42" t="s">
        <v>246</v>
      </c>
      <c r="F332" s="32" t="s">
        <v>60</v>
      </c>
      <c r="G332" s="25">
        <f>2166.3+100.1+210</f>
        <v>2476.4</v>
      </c>
      <c r="H332" s="113">
        <v>2476.4</v>
      </c>
    </row>
    <row r="333" spans="1:8" s="1" customFormat="1" ht="67.5" customHeight="1">
      <c r="A333" s="41" t="s">
        <v>251</v>
      </c>
      <c r="B333" s="32" t="s">
        <v>45</v>
      </c>
      <c r="C333" s="32" t="s">
        <v>27</v>
      </c>
      <c r="D333" s="32" t="s">
        <v>28</v>
      </c>
      <c r="E333" s="42" t="s">
        <v>247</v>
      </c>
      <c r="F333" s="32" t="s">
        <v>60</v>
      </c>
      <c r="G333" s="25">
        <f>32245.7-15109.9-6033.3</f>
        <v>11102.500000000004</v>
      </c>
      <c r="H333" s="113">
        <v>11102.5</v>
      </c>
    </row>
    <row r="334" spans="1:8" s="2" customFormat="1" ht="15">
      <c r="A334" s="38" t="s">
        <v>10</v>
      </c>
      <c r="B334" s="39" t="s">
        <v>45</v>
      </c>
      <c r="C334" s="39" t="s">
        <v>27</v>
      </c>
      <c r="D334" s="39" t="s">
        <v>26</v>
      </c>
      <c r="E334" s="40"/>
      <c r="F334" s="39"/>
      <c r="G334" s="22">
        <f aca="true" t="shared" si="12" ref="G334:H336">G335</f>
        <v>20333.4</v>
      </c>
      <c r="H334" s="22">
        <f t="shared" si="12"/>
        <v>20307.9</v>
      </c>
    </row>
    <row r="335" spans="1:8" s="2" customFormat="1" ht="30">
      <c r="A335" s="41" t="s">
        <v>235</v>
      </c>
      <c r="B335" s="32" t="s">
        <v>45</v>
      </c>
      <c r="C335" s="32" t="s">
        <v>27</v>
      </c>
      <c r="D335" s="32" t="s">
        <v>26</v>
      </c>
      <c r="E335" s="42" t="s">
        <v>25</v>
      </c>
      <c r="F335" s="32"/>
      <c r="G335" s="25">
        <f t="shared" si="12"/>
        <v>20333.4</v>
      </c>
      <c r="H335" s="25">
        <f t="shared" si="12"/>
        <v>20307.9</v>
      </c>
    </row>
    <row r="336" spans="1:8" s="2" customFormat="1" ht="30">
      <c r="A336" s="41" t="s">
        <v>236</v>
      </c>
      <c r="B336" s="32" t="s">
        <v>45</v>
      </c>
      <c r="C336" s="32" t="s">
        <v>27</v>
      </c>
      <c r="D336" s="32" t="s">
        <v>26</v>
      </c>
      <c r="E336" s="42" t="s">
        <v>237</v>
      </c>
      <c r="F336" s="32"/>
      <c r="G336" s="25">
        <f t="shared" si="12"/>
        <v>20333.4</v>
      </c>
      <c r="H336" s="25">
        <f t="shared" si="12"/>
        <v>20307.9</v>
      </c>
    </row>
    <row r="337" spans="1:8" s="2" customFormat="1" ht="30">
      <c r="A337" s="41" t="s">
        <v>336</v>
      </c>
      <c r="B337" s="32" t="s">
        <v>45</v>
      </c>
      <c r="C337" s="32" t="s">
        <v>27</v>
      </c>
      <c r="D337" s="32" t="s">
        <v>26</v>
      </c>
      <c r="E337" s="42" t="s">
        <v>238</v>
      </c>
      <c r="F337" s="32"/>
      <c r="G337" s="25">
        <f>G339+G342+G343+G344+G338+G340+G341</f>
        <v>20333.4</v>
      </c>
      <c r="H337" s="25">
        <f>H339+H342+H343+H344+H338+H340+H341</f>
        <v>20307.9</v>
      </c>
    </row>
    <row r="338" spans="1:8" s="2" customFormat="1" ht="60">
      <c r="A338" s="41" t="s">
        <v>385</v>
      </c>
      <c r="B338" s="32" t="s">
        <v>45</v>
      </c>
      <c r="C338" s="32" t="s">
        <v>27</v>
      </c>
      <c r="D338" s="32" t="s">
        <v>26</v>
      </c>
      <c r="E338" s="42" t="s">
        <v>249</v>
      </c>
      <c r="F338" s="32" t="s">
        <v>58</v>
      </c>
      <c r="G338" s="25">
        <v>37.7</v>
      </c>
      <c r="H338" s="25">
        <v>37.7</v>
      </c>
    </row>
    <row r="339" spans="1:9" s="1" customFormat="1" ht="45">
      <c r="A339" s="41" t="s">
        <v>248</v>
      </c>
      <c r="B339" s="32" t="s">
        <v>45</v>
      </c>
      <c r="C339" s="32" t="s">
        <v>27</v>
      </c>
      <c r="D339" s="32" t="s">
        <v>26</v>
      </c>
      <c r="E339" s="42" t="s">
        <v>249</v>
      </c>
      <c r="F339" s="32" t="s">
        <v>60</v>
      </c>
      <c r="G339" s="25">
        <f>7474-37.7+3000-3000-974-1100+444.6+6+0.1</f>
        <v>5813</v>
      </c>
      <c r="H339" s="113">
        <v>5813</v>
      </c>
      <c r="I339" s="1">
        <v>0.1</v>
      </c>
    </row>
    <row r="340" spans="1:8" s="1" customFormat="1" ht="60">
      <c r="A340" s="41" t="s">
        <v>385</v>
      </c>
      <c r="B340" s="32" t="s">
        <v>45</v>
      </c>
      <c r="C340" s="32" t="s">
        <v>27</v>
      </c>
      <c r="D340" s="32" t="s">
        <v>26</v>
      </c>
      <c r="E340" s="42" t="s">
        <v>386</v>
      </c>
      <c r="F340" s="32" t="s">
        <v>58</v>
      </c>
      <c r="G340" s="25">
        <f>40+6-41</f>
        <v>5</v>
      </c>
      <c r="H340" s="113">
        <v>5</v>
      </c>
    </row>
    <row r="341" spans="1:8" s="1" customFormat="1" ht="45">
      <c r="A341" s="41" t="s">
        <v>248</v>
      </c>
      <c r="B341" s="32" t="s">
        <v>45</v>
      </c>
      <c r="C341" s="32" t="s">
        <v>27</v>
      </c>
      <c r="D341" s="32" t="s">
        <v>26</v>
      </c>
      <c r="E341" s="42" t="s">
        <v>387</v>
      </c>
      <c r="F341" s="32" t="s">
        <v>60</v>
      </c>
      <c r="G341" s="25">
        <f>1960+994+3000+1932.7+41</f>
        <v>7927.7</v>
      </c>
      <c r="H341" s="113">
        <v>7927.7</v>
      </c>
    </row>
    <row r="342" spans="1:8" s="1" customFormat="1" ht="39" customHeight="1">
      <c r="A342" s="41" t="s">
        <v>250</v>
      </c>
      <c r="B342" s="32" t="s">
        <v>45</v>
      </c>
      <c r="C342" s="32" t="s">
        <v>27</v>
      </c>
      <c r="D342" s="32" t="s">
        <v>26</v>
      </c>
      <c r="E342" s="42" t="s">
        <v>252</v>
      </c>
      <c r="F342" s="32" t="s">
        <v>60</v>
      </c>
      <c r="G342" s="25">
        <f>4408.1+50-50+25.9+394.1</f>
        <v>4828.1</v>
      </c>
      <c r="H342" s="113">
        <v>4828.1</v>
      </c>
    </row>
    <row r="343" spans="1:8" s="1" customFormat="1" ht="59.25" customHeight="1">
      <c r="A343" s="41" t="s">
        <v>352</v>
      </c>
      <c r="B343" s="32" t="s">
        <v>45</v>
      </c>
      <c r="C343" s="32" t="s">
        <v>27</v>
      </c>
      <c r="D343" s="32" t="s">
        <v>26</v>
      </c>
      <c r="E343" s="42" t="s">
        <v>350</v>
      </c>
      <c r="F343" s="32" t="s">
        <v>58</v>
      </c>
      <c r="G343" s="25">
        <v>10.6</v>
      </c>
      <c r="H343" s="25">
        <v>8.4</v>
      </c>
    </row>
    <row r="344" spans="1:8" s="1" customFormat="1" ht="48" customHeight="1">
      <c r="A344" s="41" t="s">
        <v>351</v>
      </c>
      <c r="B344" s="32" t="s">
        <v>45</v>
      </c>
      <c r="C344" s="32" t="s">
        <v>27</v>
      </c>
      <c r="D344" s="32" t="s">
        <v>26</v>
      </c>
      <c r="E344" s="42" t="s">
        <v>350</v>
      </c>
      <c r="F344" s="32" t="s">
        <v>60</v>
      </c>
      <c r="G344" s="25">
        <f>1065.6+645.7</f>
        <v>1711.3</v>
      </c>
      <c r="H344" s="25">
        <v>1688</v>
      </c>
    </row>
    <row r="345" spans="1:8" s="1" customFormat="1" ht="15.75" customHeight="1">
      <c r="A345" s="38" t="s">
        <v>10</v>
      </c>
      <c r="B345" s="39" t="s">
        <v>45</v>
      </c>
      <c r="C345" s="39" t="s">
        <v>27</v>
      </c>
      <c r="D345" s="39" t="s">
        <v>30</v>
      </c>
      <c r="E345" s="40"/>
      <c r="F345" s="39"/>
      <c r="G345" s="22">
        <f>G346</f>
        <v>12</v>
      </c>
      <c r="H345" s="22">
        <f>H346</f>
        <v>0</v>
      </c>
    </row>
    <row r="346" spans="1:8" s="1" customFormat="1" ht="30.75" customHeight="1">
      <c r="A346" s="41" t="s">
        <v>235</v>
      </c>
      <c r="B346" s="32" t="s">
        <v>45</v>
      </c>
      <c r="C346" s="32" t="s">
        <v>27</v>
      </c>
      <c r="D346" s="32" t="s">
        <v>30</v>
      </c>
      <c r="E346" s="42" t="s">
        <v>25</v>
      </c>
      <c r="F346" s="32"/>
      <c r="G346" s="25">
        <f>G347</f>
        <v>12</v>
      </c>
      <c r="H346" s="25">
        <f>H347</f>
        <v>0</v>
      </c>
    </row>
    <row r="347" spans="1:8" s="1" customFormat="1" ht="30" customHeight="1">
      <c r="A347" s="41" t="s">
        <v>236</v>
      </c>
      <c r="B347" s="32" t="s">
        <v>45</v>
      </c>
      <c r="C347" s="32" t="s">
        <v>27</v>
      </c>
      <c r="D347" s="32" t="s">
        <v>30</v>
      </c>
      <c r="E347" s="42" t="s">
        <v>237</v>
      </c>
      <c r="F347" s="32"/>
      <c r="G347" s="25">
        <f>G348</f>
        <v>12</v>
      </c>
      <c r="H347" s="25">
        <f>H349</f>
        <v>0</v>
      </c>
    </row>
    <row r="348" spans="1:8" s="1" customFormat="1" ht="30" customHeight="1">
      <c r="A348" s="41" t="s">
        <v>336</v>
      </c>
      <c r="B348" s="32" t="s">
        <v>45</v>
      </c>
      <c r="C348" s="32" t="s">
        <v>27</v>
      </c>
      <c r="D348" s="32" t="s">
        <v>30</v>
      </c>
      <c r="E348" s="42" t="s">
        <v>238</v>
      </c>
      <c r="F348" s="32"/>
      <c r="G348" s="25">
        <f>G349</f>
        <v>12</v>
      </c>
      <c r="H348" s="25">
        <f>H349</f>
        <v>0</v>
      </c>
    </row>
    <row r="349" spans="1:8" s="1" customFormat="1" ht="45" customHeight="1">
      <c r="A349" s="108" t="s">
        <v>466</v>
      </c>
      <c r="B349" s="32" t="s">
        <v>46</v>
      </c>
      <c r="C349" s="32" t="s">
        <v>27</v>
      </c>
      <c r="D349" s="32" t="s">
        <v>30</v>
      </c>
      <c r="E349" s="42" t="s">
        <v>462</v>
      </c>
      <c r="F349" s="32" t="s">
        <v>60</v>
      </c>
      <c r="G349" s="25">
        <f>12</f>
        <v>12</v>
      </c>
      <c r="H349" s="25"/>
    </row>
    <row r="350" spans="1:8" s="2" customFormat="1" ht="15">
      <c r="A350" s="38" t="s">
        <v>42</v>
      </c>
      <c r="B350" s="39" t="s">
        <v>45</v>
      </c>
      <c r="C350" s="39" t="s">
        <v>27</v>
      </c>
      <c r="D350" s="39" t="s">
        <v>30</v>
      </c>
      <c r="E350" s="40"/>
      <c r="F350" s="39"/>
      <c r="G350" s="22">
        <f aca="true" t="shared" si="13" ref="G350:H352">G351</f>
        <v>6376.3</v>
      </c>
      <c r="H350" s="22">
        <f t="shared" si="13"/>
        <v>6372.9</v>
      </c>
    </row>
    <row r="351" spans="1:8" s="2" customFormat="1" ht="30">
      <c r="A351" s="41" t="s">
        <v>235</v>
      </c>
      <c r="B351" s="32" t="s">
        <v>45</v>
      </c>
      <c r="C351" s="32" t="s">
        <v>27</v>
      </c>
      <c r="D351" s="32" t="s">
        <v>30</v>
      </c>
      <c r="E351" s="42" t="s">
        <v>25</v>
      </c>
      <c r="F351" s="32"/>
      <c r="G351" s="25">
        <f t="shared" si="13"/>
        <v>6376.3</v>
      </c>
      <c r="H351" s="25">
        <f t="shared" si="13"/>
        <v>6372.9</v>
      </c>
    </row>
    <row r="352" spans="1:8" s="2" customFormat="1" ht="45">
      <c r="A352" s="41" t="s">
        <v>338</v>
      </c>
      <c r="B352" s="32" t="s">
        <v>45</v>
      </c>
      <c r="C352" s="32" t="s">
        <v>27</v>
      </c>
      <c r="D352" s="32" t="s">
        <v>30</v>
      </c>
      <c r="E352" s="42" t="s">
        <v>253</v>
      </c>
      <c r="F352" s="32"/>
      <c r="G352" s="25">
        <f t="shared" si="13"/>
        <v>6376.3</v>
      </c>
      <c r="H352" s="25">
        <f t="shared" si="13"/>
        <v>6372.9</v>
      </c>
    </row>
    <row r="353" spans="1:8" s="2" customFormat="1" ht="30" customHeight="1">
      <c r="A353" s="41" t="s">
        <v>337</v>
      </c>
      <c r="B353" s="32" t="s">
        <v>45</v>
      </c>
      <c r="C353" s="32" t="s">
        <v>27</v>
      </c>
      <c r="D353" s="32" t="s">
        <v>30</v>
      </c>
      <c r="E353" s="42" t="s">
        <v>254</v>
      </c>
      <c r="F353" s="32"/>
      <c r="G353" s="25">
        <f>G354+G355+G356</f>
        <v>6376.3</v>
      </c>
      <c r="H353" s="25">
        <f>H354+H355+H356</f>
        <v>6372.9</v>
      </c>
    </row>
    <row r="354" spans="1:8" s="1" customFormat="1" ht="90" customHeight="1">
      <c r="A354" s="11" t="s">
        <v>93</v>
      </c>
      <c r="B354" s="23" t="s">
        <v>45</v>
      </c>
      <c r="C354" s="23" t="s">
        <v>27</v>
      </c>
      <c r="D354" s="23" t="s">
        <v>30</v>
      </c>
      <c r="E354" s="24" t="s">
        <v>287</v>
      </c>
      <c r="F354" s="23" t="s">
        <v>59</v>
      </c>
      <c r="G354" s="25">
        <v>6121.5</v>
      </c>
      <c r="H354" s="113">
        <v>6121.5</v>
      </c>
    </row>
    <row r="355" spans="1:8" s="1" customFormat="1" ht="61.5" customHeight="1">
      <c r="A355" s="11" t="s">
        <v>94</v>
      </c>
      <c r="B355" s="23" t="s">
        <v>45</v>
      </c>
      <c r="C355" s="23" t="s">
        <v>27</v>
      </c>
      <c r="D355" s="23" t="s">
        <v>30</v>
      </c>
      <c r="E355" s="24" t="s">
        <v>287</v>
      </c>
      <c r="F355" s="23" t="s">
        <v>58</v>
      </c>
      <c r="G355" s="25">
        <f>180+65</f>
        <v>245</v>
      </c>
      <c r="H355" s="113">
        <v>245</v>
      </c>
    </row>
    <row r="356" spans="1:8" s="1" customFormat="1" ht="48" customHeight="1">
      <c r="A356" s="11" t="s">
        <v>84</v>
      </c>
      <c r="B356" s="23" t="s">
        <v>45</v>
      </c>
      <c r="C356" s="23" t="s">
        <v>27</v>
      </c>
      <c r="D356" s="23" t="s">
        <v>30</v>
      </c>
      <c r="E356" s="24" t="s">
        <v>287</v>
      </c>
      <c r="F356" s="23" t="s">
        <v>54</v>
      </c>
      <c r="G356" s="25">
        <v>9.8</v>
      </c>
      <c r="H356" s="113">
        <v>6.4</v>
      </c>
    </row>
    <row r="357" spans="1:8" s="1" customFormat="1" ht="30" customHeight="1">
      <c r="A357" s="15" t="s">
        <v>51</v>
      </c>
      <c r="B357" s="17" t="s">
        <v>46</v>
      </c>
      <c r="C357" s="17"/>
      <c r="D357" s="17"/>
      <c r="E357" s="18"/>
      <c r="F357" s="17"/>
      <c r="G357" s="16">
        <f>G362+G373+G379+G358</f>
        <v>28995.9</v>
      </c>
      <c r="H357" s="16">
        <f>H362+H373+H379+H358</f>
        <v>27461.4</v>
      </c>
    </row>
    <row r="358" spans="1:8" s="1" customFormat="1" ht="19.5" customHeight="1">
      <c r="A358" s="19" t="s">
        <v>371</v>
      </c>
      <c r="B358" s="20" t="s">
        <v>46</v>
      </c>
      <c r="C358" s="20" t="s">
        <v>26</v>
      </c>
      <c r="D358" s="20" t="s">
        <v>25</v>
      </c>
      <c r="E358" s="21"/>
      <c r="F358" s="20"/>
      <c r="G358" s="22">
        <f aca="true" t="shared" si="14" ref="G358:H360">G359</f>
        <v>40.4</v>
      </c>
      <c r="H358" s="22">
        <f t="shared" si="14"/>
        <v>40.2</v>
      </c>
    </row>
    <row r="359" spans="1:8" s="1" customFormat="1" ht="29.25" customHeight="1">
      <c r="A359" s="11" t="s">
        <v>90</v>
      </c>
      <c r="B359" s="23" t="s">
        <v>46</v>
      </c>
      <c r="C359" s="23" t="s">
        <v>26</v>
      </c>
      <c r="D359" s="23" t="s">
        <v>25</v>
      </c>
      <c r="E359" s="24" t="s">
        <v>87</v>
      </c>
      <c r="F359" s="17"/>
      <c r="G359" s="25">
        <f t="shared" si="14"/>
        <v>40.4</v>
      </c>
      <c r="H359" s="25">
        <f t="shared" si="14"/>
        <v>40.2</v>
      </c>
    </row>
    <row r="360" spans="1:8" s="1" customFormat="1" ht="24" customHeight="1">
      <c r="A360" s="11" t="s">
        <v>78</v>
      </c>
      <c r="B360" s="23" t="s">
        <v>46</v>
      </c>
      <c r="C360" s="23" t="s">
        <v>26</v>
      </c>
      <c r="D360" s="23" t="s">
        <v>25</v>
      </c>
      <c r="E360" s="24" t="s">
        <v>92</v>
      </c>
      <c r="F360" s="17"/>
      <c r="G360" s="25">
        <f t="shared" si="14"/>
        <v>40.4</v>
      </c>
      <c r="H360" s="25">
        <f t="shared" si="14"/>
        <v>40.2</v>
      </c>
    </row>
    <row r="361" spans="1:8" s="1" customFormat="1" ht="30" customHeight="1">
      <c r="A361" s="11" t="s">
        <v>375</v>
      </c>
      <c r="B361" s="23" t="s">
        <v>46</v>
      </c>
      <c r="C361" s="23" t="s">
        <v>26</v>
      </c>
      <c r="D361" s="23" t="s">
        <v>25</v>
      </c>
      <c r="E361" s="24" t="s">
        <v>372</v>
      </c>
      <c r="F361" s="23" t="s">
        <v>2</v>
      </c>
      <c r="G361" s="25">
        <v>40.4</v>
      </c>
      <c r="H361" s="25">
        <v>40.2</v>
      </c>
    </row>
    <row r="362" spans="1:8" s="1" customFormat="1" ht="14.25">
      <c r="A362" s="15" t="s">
        <v>63</v>
      </c>
      <c r="B362" s="17" t="s">
        <v>46</v>
      </c>
      <c r="C362" s="17" t="s">
        <v>25</v>
      </c>
      <c r="D362" s="17"/>
      <c r="E362" s="18"/>
      <c r="F362" s="17"/>
      <c r="G362" s="16">
        <f>G363</f>
        <v>3892.2999999999997</v>
      </c>
      <c r="H362" s="16">
        <f>H363</f>
        <v>3891.4</v>
      </c>
    </row>
    <row r="363" spans="1:8" s="2" customFormat="1" ht="45">
      <c r="A363" s="19" t="s">
        <v>47</v>
      </c>
      <c r="B363" s="20" t="s">
        <v>46</v>
      </c>
      <c r="C363" s="20" t="s">
        <v>25</v>
      </c>
      <c r="D363" s="20" t="s">
        <v>30</v>
      </c>
      <c r="E363" s="29"/>
      <c r="F363" s="30"/>
      <c r="G363" s="22">
        <f>G364</f>
        <v>3892.2999999999997</v>
      </c>
      <c r="H363" s="22">
        <f>H364</f>
        <v>3891.4</v>
      </c>
    </row>
    <row r="364" spans="1:8" s="1" customFormat="1" ht="30">
      <c r="A364" s="11" t="s">
        <v>255</v>
      </c>
      <c r="B364" s="23" t="s">
        <v>46</v>
      </c>
      <c r="C364" s="23" t="s">
        <v>25</v>
      </c>
      <c r="D364" s="23" t="s">
        <v>30</v>
      </c>
      <c r="E364" s="24" t="s">
        <v>29</v>
      </c>
      <c r="F364" s="23"/>
      <c r="G364" s="25">
        <f>G368+G365</f>
        <v>3892.2999999999997</v>
      </c>
      <c r="H364" s="25">
        <f>H368+H365</f>
        <v>3891.4</v>
      </c>
    </row>
    <row r="365" spans="1:8" s="1" customFormat="1" ht="30">
      <c r="A365" s="11" t="s">
        <v>359</v>
      </c>
      <c r="B365" s="23" t="s">
        <v>46</v>
      </c>
      <c r="C365" s="23" t="s">
        <v>25</v>
      </c>
      <c r="D365" s="23" t="s">
        <v>30</v>
      </c>
      <c r="E365" s="24" t="s">
        <v>358</v>
      </c>
      <c r="F365" s="23"/>
      <c r="G365" s="25">
        <f>G366</f>
        <v>180.1</v>
      </c>
      <c r="H365" s="25">
        <f>H366</f>
        <v>179.9</v>
      </c>
    </row>
    <row r="366" spans="1:8" s="1" customFormat="1" ht="30">
      <c r="A366" s="11" t="s">
        <v>360</v>
      </c>
      <c r="B366" s="23" t="s">
        <v>264</v>
      </c>
      <c r="C366" s="23" t="s">
        <v>25</v>
      </c>
      <c r="D366" s="23" t="s">
        <v>30</v>
      </c>
      <c r="E366" s="24" t="s">
        <v>361</v>
      </c>
      <c r="F366" s="23"/>
      <c r="G366" s="25">
        <f>G367</f>
        <v>180.1</v>
      </c>
      <c r="H366" s="25">
        <f>H367</f>
        <v>179.9</v>
      </c>
    </row>
    <row r="367" spans="1:8" s="1" customFormat="1" ht="60">
      <c r="A367" s="11" t="s">
        <v>94</v>
      </c>
      <c r="B367" s="23" t="s">
        <v>46</v>
      </c>
      <c r="C367" s="23" t="s">
        <v>25</v>
      </c>
      <c r="D367" s="23" t="s">
        <v>30</v>
      </c>
      <c r="E367" s="24" t="s">
        <v>362</v>
      </c>
      <c r="F367" s="23" t="s">
        <v>58</v>
      </c>
      <c r="G367" s="25">
        <v>180.1</v>
      </c>
      <c r="H367" s="25">
        <v>179.9</v>
      </c>
    </row>
    <row r="368" spans="1:8" s="1" customFormat="1" ht="18" customHeight="1">
      <c r="A368" s="11" t="s">
        <v>260</v>
      </c>
      <c r="B368" s="23" t="s">
        <v>46</v>
      </c>
      <c r="C368" s="23" t="s">
        <v>25</v>
      </c>
      <c r="D368" s="23" t="s">
        <v>30</v>
      </c>
      <c r="E368" s="24" t="s">
        <v>256</v>
      </c>
      <c r="F368" s="23"/>
      <c r="G368" s="25">
        <f>G369</f>
        <v>3712.2</v>
      </c>
      <c r="H368" s="25">
        <f>H369</f>
        <v>3711.5</v>
      </c>
    </row>
    <row r="369" spans="1:8" s="1" customFormat="1" ht="32.25" customHeight="1">
      <c r="A369" s="11" t="s">
        <v>257</v>
      </c>
      <c r="B369" s="23" t="s">
        <v>46</v>
      </c>
      <c r="C369" s="23" t="s">
        <v>25</v>
      </c>
      <c r="D369" s="23" t="s">
        <v>30</v>
      </c>
      <c r="E369" s="24" t="s">
        <v>258</v>
      </c>
      <c r="F369" s="23"/>
      <c r="G369" s="25">
        <f>G370+G371+G372</f>
        <v>3712.2</v>
      </c>
      <c r="H369" s="25">
        <f>H370+H371+H372</f>
        <v>3711.5</v>
      </c>
    </row>
    <row r="370" spans="1:8" s="1" customFormat="1" ht="93" customHeight="1">
      <c r="A370" s="11" t="s">
        <v>93</v>
      </c>
      <c r="B370" s="32" t="s">
        <v>46</v>
      </c>
      <c r="C370" s="32" t="s">
        <v>25</v>
      </c>
      <c r="D370" s="32" t="s">
        <v>30</v>
      </c>
      <c r="E370" s="24" t="s">
        <v>259</v>
      </c>
      <c r="F370" s="23" t="s">
        <v>59</v>
      </c>
      <c r="G370" s="25">
        <v>3115.4</v>
      </c>
      <c r="H370" s="113">
        <v>3114.8</v>
      </c>
    </row>
    <row r="371" spans="1:8" s="1" customFormat="1" ht="60">
      <c r="A371" s="11" t="s">
        <v>94</v>
      </c>
      <c r="B371" s="32" t="s">
        <v>46</v>
      </c>
      <c r="C371" s="32" t="s">
        <v>25</v>
      </c>
      <c r="D371" s="32" t="s">
        <v>30</v>
      </c>
      <c r="E371" s="24" t="s">
        <v>259</v>
      </c>
      <c r="F371" s="23" t="s">
        <v>58</v>
      </c>
      <c r="G371" s="25">
        <f>724.8-180.1+50-0.1</f>
        <v>594.5999999999999</v>
      </c>
      <c r="H371" s="113">
        <v>594.5</v>
      </c>
    </row>
    <row r="372" spans="1:8" s="1" customFormat="1" ht="43.5" customHeight="1">
      <c r="A372" s="11" t="s">
        <v>272</v>
      </c>
      <c r="B372" s="32" t="s">
        <v>46</v>
      </c>
      <c r="C372" s="32" t="s">
        <v>25</v>
      </c>
      <c r="D372" s="32" t="s">
        <v>30</v>
      </c>
      <c r="E372" s="24" t="s">
        <v>259</v>
      </c>
      <c r="F372" s="23" t="s">
        <v>54</v>
      </c>
      <c r="G372" s="25">
        <f>3-0.8</f>
        <v>2.2</v>
      </c>
      <c r="H372" s="113">
        <v>2.2</v>
      </c>
    </row>
    <row r="373" spans="1:8" s="1" customFormat="1" ht="14.25">
      <c r="A373" s="15" t="s">
        <v>1</v>
      </c>
      <c r="B373" s="17" t="s">
        <v>46</v>
      </c>
      <c r="C373" s="17" t="s">
        <v>32</v>
      </c>
      <c r="D373" s="17"/>
      <c r="E373" s="18"/>
      <c r="F373" s="17"/>
      <c r="G373" s="16">
        <f>G374</f>
        <v>200.9</v>
      </c>
      <c r="H373" s="16">
        <f>H374</f>
        <v>200.9</v>
      </c>
    </row>
    <row r="374" spans="1:8" s="2" customFormat="1" ht="15">
      <c r="A374" s="19" t="s">
        <v>15</v>
      </c>
      <c r="B374" s="20" t="s">
        <v>46</v>
      </c>
      <c r="C374" s="20" t="s">
        <v>32</v>
      </c>
      <c r="D374" s="20" t="s">
        <v>24</v>
      </c>
      <c r="E374" s="29"/>
      <c r="F374" s="30"/>
      <c r="G374" s="22">
        <f>G378</f>
        <v>200.9</v>
      </c>
      <c r="H374" s="22">
        <f>H378</f>
        <v>200.9</v>
      </c>
    </row>
    <row r="375" spans="1:8" s="1" customFormat="1" ht="30">
      <c r="A375" s="11" t="s">
        <v>255</v>
      </c>
      <c r="B375" s="23" t="s">
        <v>46</v>
      </c>
      <c r="C375" s="23" t="s">
        <v>32</v>
      </c>
      <c r="D375" s="23" t="s">
        <v>24</v>
      </c>
      <c r="E375" s="24" t="s">
        <v>29</v>
      </c>
      <c r="F375" s="23"/>
      <c r="G375" s="25">
        <f aca="true" t="shared" si="15" ref="G375:H377">G376</f>
        <v>200.9</v>
      </c>
      <c r="H375" s="25">
        <f t="shared" si="15"/>
        <v>200.9</v>
      </c>
    </row>
    <row r="376" spans="1:8" s="1" customFormat="1" ht="15">
      <c r="A376" s="11" t="s">
        <v>260</v>
      </c>
      <c r="B376" s="23" t="s">
        <v>46</v>
      </c>
      <c r="C376" s="23" t="s">
        <v>32</v>
      </c>
      <c r="D376" s="23" t="s">
        <v>24</v>
      </c>
      <c r="E376" s="24" t="s">
        <v>256</v>
      </c>
      <c r="F376" s="23"/>
      <c r="G376" s="25">
        <f t="shared" si="15"/>
        <v>200.9</v>
      </c>
      <c r="H376" s="25">
        <f t="shared" si="15"/>
        <v>200.9</v>
      </c>
    </row>
    <row r="377" spans="1:8" s="1" customFormat="1" ht="30">
      <c r="A377" s="11" t="s">
        <v>257</v>
      </c>
      <c r="B377" s="23" t="s">
        <v>46</v>
      </c>
      <c r="C377" s="23" t="s">
        <v>32</v>
      </c>
      <c r="D377" s="23" t="s">
        <v>24</v>
      </c>
      <c r="E377" s="24" t="s">
        <v>258</v>
      </c>
      <c r="F377" s="23"/>
      <c r="G377" s="25">
        <f t="shared" si="15"/>
        <v>200.9</v>
      </c>
      <c r="H377" s="25">
        <f t="shared" si="15"/>
        <v>200.9</v>
      </c>
    </row>
    <row r="378" spans="1:8" s="1" customFormat="1" ht="78" customHeight="1">
      <c r="A378" s="11" t="s">
        <v>261</v>
      </c>
      <c r="B378" s="23" t="s">
        <v>46</v>
      </c>
      <c r="C378" s="23" t="s">
        <v>32</v>
      </c>
      <c r="D378" s="23" t="s">
        <v>24</v>
      </c>
      <c r="E378" s="24" t="s">
        <v>270</v>
      </c>
      <c r="F378" s="23" t="s">
        <v>59</v>
      </c>
      <c r="G378" s="25">
        <f>200+0.9</f>
        <v>200.9</v>
      </c>
      <c r="H378" s="113">
        <v>200.9</v>
      </c>
    </row>
    <row r="379" spans="1:8" s="1" customFormat="1" ht="42.75">
      <c r="A379" s="14" t="s">
        <v>8</v>
      </c>
      <c r="B379" s="17" t="s">
        <v>46</v>
      </c>
      <c r="C379" s="17" t="s">
        <v>39</v>
      </c>
      <c r="D379" s="17"/>
      <c r="E379" s="18"/>
      <c r="F379" s="17"/>
      <c r="G379" s="16">
        <f>G380+G385</f>
        <v>24862.3</v>
      </c>
      <c r="H379" s="16">
        <f>H380+H385</f>
        <v>23328.9</v>
      </c>
    </row>
    <row r="380" spans="1:8" s="2" customFormat="1" ht="35.25" customHeight="1">
      <c r="A380" s="38" t="s">
        <v>53</v>
      </c>
      <c r="B380" s="20" t="s">
        <v>46</v>
      </c>
      <c r="C380" s="20" t="s">
        <v>39</v>
      </c>
      <c r="D380" s="20" t="s">
        <v>25</v>
      </c>
      <c r="E380" s="29"/>
      <c r="F380" s="30"/>
      <c r="G380" s="22">
        <f aca="true" t="shared" si="16" ref="G380:H383">G381</f>
        <v>21938.5</v>
      </c>
      <c r="H380" s="22">
        <f t="shared" si="16"/>
        <v>21938.5</v>
      </c>
    </row>
    <row r="381" spans="1:8" s="2" customFormat="1" ht="28.5" customHeight="1">
      <c r="A381" s="11" t="s">
        <v>255</v>
      </c>
      <c r="B381" s="23" t="s">
        <v>264</v>
      </c>
      <c r="C381" s="23" t="s">
        <v>39</v>
      </c>
      <c r="D381" s="23" t="s">
        <v>25</v>
      </c>
      <c r="E381" s="24" t="s">
        <v>29</v>
      </c>
      <c r="F381" s="23"/>
      <c r="G381" s="25">
        <f t="shared" si="16"/>
        <v>21938.5</v>
      </c>
      <c r="H381" s="25">
        <f t="shared" si="16"/>
        <v>21938.5</v>
      </c>
    </row>
    <row r="382" spans="1:8" s="2" customFormat="1" ht="31.5" customHeight="1">
      <c r="A382" s="11" t="s">
        <v>284</v>
      </c>
      <c r="B382" s="23" t="s">
        <v>264</v>
      </c>
      <c r="C382" s="23" t="s">
        <v>39</v>
      </c>
      <c r="D382" s="23" t="s">
        <v>25</v>
      </c>
      <c r="E382" s="24" t="s">
        <v>265</v>
      </c>
      <c r="F382" s="23"/>
      <c r="G382" s="25">
        <f t="shared" si="16"/>
        <v>21938.5</v>
      </c>
      <c r="H382" s="25">
        <f t="shared" si="16"/>
        <v>21938.5</v>
      </c>
    </row>
    <row r="383" spans="1:8" s="2" customFormat="1" ht="33.75" customHeight="1">
      <c r="A383" s="11" t="s">
        <v>262</v>
      </c>
      <c r="B383" s="23" t="s">
        <v>264</v>
      </c>
      <c r="C383" s="23" t="s">
        <v>39</v>
      </c>
      <c r="D383" s="23" t="s">
        <v>25</v>
      </c>
      <c r="E383" s="24" t="s">
        <v>339</v>
      </c>
      <c r="F383" s="23"/>
      <c r="G383" s="25">
        <f t="shared" si="16"/>
        <v>21938.5</v>
      </c>
      <c r="H383" s="25">
        <f t="shared" si="16"/>
        <v>21938.5</v>
      </c>
    </row>
    <row r="384" spans="1:8" s="1" customFormat="1" ht="30" customHeight="1">
      <c r="A384" s="41" t="s">
        <v>263</v>
      </c>
      <c r="B384" s="23" t="s">
        <v>46</v>
      </c>
      <c r="C384" s="23" t="s">
        <v>39</v>
      </c>
      <c r="D384" s="23" t="s">
        <v>25</v>
      </c>
      <c r="E384" s="24" t="s">
        <v>266</v>
      </c>
      <c r="F384" s="23" t="s">
        <v>2</v>
      </c>
      <c r="G384" s="25">
        <v>21938.5</v>
      </c>
      <c r="H384" s="113">
        <v>21938.5</v>
      </c>
    </row>
    <row r="385" spans="1:8" s="1" customFormat="1" ht="24" customHeight="1">
      <c r="A385" s="38" t="s">
        <v>380</v>
      </c>
      <c r="B385" s="20" t="s">
        <v>46</v>
      </c>
      <c r="C385" s="20" t="s">
        <v>39</v>
      </c>
      <c r="D385" s="20" t="s">
        <v>28</v>
      </c>
      <c r="E385" s="21"/>
      <c r="F385" s="20"/>
      <c r="G385" s="117">
        <f>G389+G386</f>
        <v>2923.8</v>
      </c>
      <c r="H385" s="117">
        <f>H389+H386</f>
        <v>1390.4</v>
      </c>
    </row>
    <row r="386" spans="1:8" s="1" customFormat="1" ht="27.75" customHeight="1">
      <c r="A386" s="11" t="s">
        <v>300</v>
      </c>
      <c r="B386" s="23" t="s">
        <v>46</v>
      </c>
      <c r="C386" s="23" t="s">
        <v>39</v>
      </c>
      <c r="D386" s="23" t="s">
        <v>28</v>
      </c>
      <c r="E386" s="24" t="s">
        <v>392</v>
      </c>
      <c r="F386" s="23"/>
      <c r="G386" s="113">
        <f>G387</f>
        <v>750</v>
      </c>
      <c r="H386" s="113">
        <f>H387</f>
        <v>750</v>
      </c>
    </row>
    <row r="387" spans="1:8" s="1" customFormat="1" ht="24" customHeight="1">
      <c r="A387" s="11" t="s">
        <v>78</v>
      </c>
      <c r="B387" s="23" t="s">
        <v>46</v>
      </c>
      <c r="C387" s="23" t="s">
        <v>39</v>
      </c>
      <c r="D387" s="23" t="s">
        <v>28</v>
      </c>
      <c r="E387" s="24" t="s">
        <v>393</v>
      </c>
      <c r="F387" s="23"/>
      <c r="G387" s="113">
        <f>G388</f>
        <v>750</v>
      </c>
      <c r="H387" s="113">
        <f>H388</f>
        <v>750</v>
      </c>
    </row>
    <row r="388" spans="1:8" s="1" customFormat="1" ht="45.75" customHeight="1">
      <c r="A388" s="11" t="s">
        <v>399</v>
      </c>
      <c r="B388" s="23" t="s">
        <v>46</v>
      </c>
      <c r="C388" s="23" t="s">
        <v>39</v>
      </c>
      <c r="D388" s="23" t="s">
        <v>28</v>
      </c>
      <c r="E388" s="24" t="s">
        <v>391</v>
      </c>
      <c r="F388" s="23" t="s">
        <v>2</v>
      </c>
      <c r="G388" s="113">
        <v>750</v>
      </c>
      <c r="H388" s="113">
        <v>750</v>
      </c>
    </row>
    <row r="389" spans="1:8" s="1" customFormat="1" ht="23.25" customHeight="1">
      <c r="A389" s="11" t="s">
        <v>90</v>
      </c>
      <c r="B389" s="23" t="s">
        <v>46</v>
      </c>
      <c r="C389" s="23" t="s">
        <v>39</v>
      </c>
      <c r="D389" s="23" t="s">
        <v>28</v>
      </c>
      <c r="E389" s="24" t="s">
        <v>381</v>
      </c>
      <c r="F389" s="23"/>
      <c r="G389" s="113">
        <f>G390</f>
        <v>2173.8</v>
      </c>
      <c r="H389" s="113">
        <f>H390</f>
        <v>640.4</v>
      </c>
    </row>
    <row r="390" spans="1:8" s="1" customFormat="1" ht="19.5" customHeight="1">
      <c r="A390" s="11" t="s">
        <v>78</v>
      </c>
      <c r="B390" s="23" t="s">
        <v>46</v>
      </c>
      <c r="C390" s="23" t="s">
        <v>39</v>
      </c>
      <c r="D390" s="23" t="s">
        <v>28</v>
      </c>
      <c r="E390" s="24" t="s">
        <v>92</v>
      </c>
      <c r="F390" s="23"/>
      <c r="G390" s="113">
        <f>G391+G392</f>
        <v>2173.8</v>
      </c>
      <c r="H390" s="113">
        <f>H391+H392</f>
        <v>640.4</v>
      </c>
    </row>
    <row r="391" spans="1:8" s="1" customFormat="1" ht="60.75" customHeight="1">
      <c r="A391" s="11" t="s">
        <v>378</v>
      </c>
      <c r="B391" s="23" t="s">
        <v>46</v>
      </c>
      <c r="C391" s="23" t="s">
        <v>39</v>
      </c>
      <c r="D391" s="23" t="s">
        <v>28</v>
      </c>
      <c r="E391" s="24" t="s">
        <v>379</v>
      </c>
      <c r="F391" s="23" t="s">
        <v>2</v>
      </c>
      <c r="G391" s="25">
        <v>1899.3</v>
      </c>
      <c r="H391" s="113">
        <v>366</v>
      </c>
    </row>
    <row r="392" spans="1:8" s="1" customFormat="1" ht="53.25" customHeight="1">
      <c r="A392" s="11" t="s">
        <v>388</v>
      </c>
      <c r="B392" s="23" t="s">
        <v>46</v>
      </c>
      <c r="C392" s="23" t="s">
        <v>39</v>
      </c>
      <c r="D392" s="23" t="s">
        <v>28</v>
      </c>
      <c r="E392" s="24" t="s">
        <v>389</v>
      </c>
      <c r="F392" s="23" t="s">
        <v>2</v>
      </c>
      <c r="G392" s="25">
        <v>274.5</v>
      </c>
      <c r="H392" s="113">
        <v>274.4</v>
      </c>
    </row>
    <row r="393" spans="1:8" s="1" customFormat="1" ht="43.5">
      <c r="A393" s="47" t="s">
        <v>364</v>
      </c>
      <c r="B393" s="49"/>
      <c r="C393" s="49"/>
      <c r="D393" s="49"/>
      <c r="E393" s="50"/>
      <c r="F393" s="49"/>
      <c r="G393" s="16">
        <f aca="true" t="shared" si="17" ref="G393:H397">G394</f>
        <v>785.4000000000001</v>
      </c>
      <c r="H393" s="16">
        <f t="shared" si="17"/>
        <v>785.4000000000001</v>
      </c>
    </row>
    <row r="394" spans="1:8" s="1" customFormat="1" ht="14.25">
      <c r="A394" s="15" t="s">
        <v>7</v>
      </c>
      <c r="B394" s="36" t="s">
        <v>347</v>
      </c>
      <c r="C394" s="17" t="s">
        <v>31</v>
      </c>
      <c r="D394" s="17"/>
      <c r="E394" s="18"/>
      <c r="F394" s="17"/>
      <c r="G394" s="16">
        <f t="shared" si="17"/>
        <v>785.4000000000001</v>
      </c>
      <c r="H394" s="16">
        <f t="shared" si="17"/>
        <v>785.4000000000001</v>
      </c>
    </row>
    <row r="395" spans="1:8" s="1" customFormat="1" ht="15">
      <c r="A395" s="19" t="s">
        <v>16</v>
      </c>
      <c r="B395" s="39" t="s">
        <v>347</v>
      </c>
      <c r="C395" s="20" t="s">
        <v>31</v>
      </c>
      <c r="D395" s="20" t="s">
        <v>25</v>
      </c>
      <c r="E395" s="21"/>
      <c r="F395" s="20"/>
      <c r="G395" s="22">
        <f t="shared" si="17"/>
        <v>785.4000000000001</v>
      </c>
      <c r="H395" s="22">
        <f t="shared" si="17"/>
        <v>785.4000000000001</v>
      </c>
    </row>
    <row r="396" spans="1:8" s="1" customFormat="1" ht="30">
      <c r="A396" s="11" t="s">
        <v>140</v>
      </c>
      <c r="B396" s="32" t="s">
        <v>347</v>
      </c>
      <c r="C396" s="23" t="s">
        <v>31</v>
      </c>
      <c r="D396" s="23" t="s">
        <v>25</v>
      </c>
      <c r="E396" s="24" t="s">
        <v>26</v>
      </c>
      <c r="F396" s="23"/>
      <c r="G396" s="25">
        <f t="shared" si="17"/>
        <v>785.4000000000001</v>
      </c>
      <c r="H396" s="25">
        <f t="shared" si="17"/>
        <v>785.4000000000001</v>
      </c>
    </row>
    <row r="397" spans="1:8" s="1" customFormat="1" ht="30">
      <c r="A397" s="11" t="s">
        <v>343</v>
      </c>
      <c r="B397" s="32" t="s">
        <v>347</v>
      </c>
      <c r="C397" s="23" t="s">
        <v>31</v>
      </c>
      <c r="D397" s="23" t="s">
        <v>25</v>
      </c>
      <c r="E397" s="24" t="s">
        <v>147</v>
      </c>
      <c r="F397" s="23"/>
      <c r="G397" s="25">
        <f t="shared" si="17"/>
        <v>785.4000000000001</v>
      </c>
      <c r="H397" s="25">
        <f t="shared" si="17"/>
        <v>785.4000000000001</v>
      </c>
    </row>
    <row r="398" spans="1:8" s="1" customFormat="1" ht="30">
      <c r="A398" s="11" t="s">
        <v>340</v>
      </c>
      <c r="B398" s="32" t="s">
        <v>347</v>
      </c>
      <c r="C398" s="23" t="s">
        <v>31</v>
      </c>
      <c r="D398" s="23" t="s">
        <v>25</v>
      </c>
      <c r="E398" s="24" t="s">
        <v>344</v>
      </c>
      <c r="F398" s="23"/>
      <c r="G398" s="25">
        <f>G399+G400+G402+G403+G401</f>
        <v>785.4000000000001</v>
      </c>
      <c r="H398" s="25">
        <f>H399+H400+H402+H403+H401</f>
        <v>785.4000000000001</v>
      </c>
    </row>
    <row r="399" spans="1:8" s="1" customFormat="1" ht="90">
      <c r="A399" s="11" t="s">
        <v>176</v>
      </c>
      <c r="B399" s="32" t="s">
        <v>347</v>
      </c>
      <c r="C399" s="23" t="s">
        <v>31</v>
      </c>
      <c r="D399" s="23" t="s">
        <v>25</v>
      </c>
      <c r="E399" s="24" t="s">
        <v>345</v>
      </c>
      <c r="F399" s="23" t="s">
        <v>59</v>
      </c>
      <c r="G399" s="25">
        <f>0+619.6</f>
        <v>619.6</v>
      </c>
      <c r="H399" s="113">
        <v>619.6</v>
      </c>
    </row>
    <row r="400" spans="1:8" s="1" customFormat="1" ht="45">
      <c r="A400" s="11" t="s">
        <v>175</v>
      </c>
      <c r="B400" s="32" t="s">
        <v>347</v>
      </c>
      <c r="C400" s="23" t="s">
        <v>31</v>
      </c>
      <c r="D400" s="23" t="s">
        <v>25</v>
      </c>
      <c r="E400" s="24" t="s">
        <v>345</v>
      </c>
      <c r="F400" s="23" t="s">
        <v>58</v>
      </c>
      <c r="G400" s="25">
        <f>0+148.3</f>
        <v>148.3</v>
      </c>
      <c r="H400" s="113">
        <v>148.3</v>
      </c>
    </row>
    <row r="401" spans="1:8" s="1" customFormat="1" ht="45">
      <c r="A401" s="11" t="s">
        <v>403</v>
      </c>
      <c r="B401" s="32" t="s">
        <v>347</v>
      </c>
      <c r="C401" s="23" t="s">
        <v>31</v>
      </c>
      <c r="D401" s="23" t="s">
        <v>25</v>
      </c>
      <c r="E401" s="24" t="s">
        <v>345</v>
      </c>
      <c r="F401" s="23" t="s">
        <v>60</v>
      </c>
      <c r="G401" s="25">
        <f>0+17</f>
        <v>17</v>
      </c>
      <c r="H401" s="113">
        <v>17</v>
      </c>
    </row>
    <row r="402" spans="1:8" s="1" customFormat="1" ht="120">
      <c r="A402" s="11" t="s">
        <v>269</v>
      </c>
      <c r="B402" s="32" t="s">
        <v>347</v>
      </c>
      <c r="C402" s="23" t="s">
        <v>31</v>
      </c>
      <c r="D402" s="23" t="s">
        <v>25</v>
      </c>
      <c r="E402" s="24" t="s">
        <v>348</v>
      </c>
      <c r="F402" s="23" t="s">
        <v>59</v>
      </c>
      <c r="G402" s="25">
        <f>0+0.3</f>
        <v>0.3</v>
      </c>
      <c r="H402" s="113">
        <v>0.3</v>
      </c>
    </row>
    <row r="403" spans="1:8" s="1" customFormat="1" ht="75">
      <c r="A403" s="11" t="s">
        <v>148</v>
      </c>
      <c r="B403" s="32" t="s">
        <v>347</v>
      </c>
      <c r="C403" s="23" t="s">
        <v>31</v>
      </c>
      <c r="D403" s="23" t="s">
        <v>25</v>
      </c>
      <c r="E403" s="24" t="s">
        <v>348</v>
      </c>
      <c r="F403" s="32" t="s">
        <v>60</v>
      </c>
      <c r="G403" s="25">
        <f>0+0.2</f>
        <v>0.2</v>
      </c>
      <c r="H403" s="113">
        <v>0.2</v>
      </c>
    </row>
    <row r="404" spans="1:7" ht="15">
      <c r="A404" s="9"/>
      <c r="B404" s="6"/>
      <c r="C404" s="6"/>
      <c r="D404" s="6"/>
      <c r="E404" s="7"/>
      <c r="F404" s="6"/>
      <c r="G404" s="51"/>
    </row>
    <row r="405" spans="1:7" ht="15">
      <c r="A405" s="9"/>
      <c r="B405" s="6"/>
      <c r="C405" s="6"/>
      <c r="D405" s="6"/>
      <c r="E405" s="7"/>
      <c r="F405" s="6"/>
      <c r="G405" s="51"/>
    </row>
    <row r="406" spans="1:7" ht="15">
      <c r="A406" s="9"/>
      <c r="B406" s="6"/>
      <c r="C406" s="6"/>
      <c r="D406" s="6"/>
      <c r="E406" s="7"/>
      <c r="F406" s="6"/>
      <c r="G406" s="51"/>
    </row>
    <row r="407" spans="1:7" ht="15">
      <c r="A407" s="9"/>
      <c r="B407" s="6"/>
      <c r="C407" s="6"/>
      <c r="D407" s="6"/>
      <c r="E407" s="7"/>
      <c r="F407" s="6"/>
      <c r="G407" s="51"/>
    </row>
    <row r="408" spans="1:7" ht="15">
      <c r="A408" s="9"/>
      <c r="B408" s="6"/>
      <c r="C408" s="6"/>
      <c r="D408" s="6"/>
      <c r="E408" s="7"/>
      <c r="F408" s="6"/>
      <c r="G408" s="51"/>
    </row>
    <row r="409" spans="1:7" ht="15">
      <c r="A409" s="9"/>
      <c r="B409" s="6"/>
      <c r="C409" s="6"/>
      <c r="D409" s="6"/>
      <c r="E409" s="7"/>
      <c r="F409" s="6"/>
      <c r="G409" s="51"/>
    </row>
    <row r="410" spans="1:7" ht="15">
      <c r="A410" s="9"/>
      <c r="B410" s="6"/>
      <c r="C410" s="6"/>
      <c r="D410" s="6"/>
      <c r="E410" s="7"/>
      <c r="F410" s="6"/>
      <c r="G410" s="51"/>
    </row>
    <row r="411" spans="1:7" ht="15">
      <c r="A411" s="9"/>
      <c r="B411" s="6"/>
      <c r="C411" s="6"/>
      <c r="D411" s="6"/>
      <c r="E411" s="7"/>
      <c r="F411" s="6"/>
      <c r="G411" s="51"/>
    </row>
    <row r="412" spans="1:7" ht="15">
      <c r="A412" s="9"/>
      <c r="B412" s="6"/>
      <c r="C412" s="6"/>
      <c r="D412" s="6"/>
      <c r="E412" s="7"/>
      <c r="F412" s="6"/>
      <c r="G412" s="51"/>
    </row>
    <row r="413" spans="1:7" ht="15">
      <c r="A413" s="9"/>
      <c r="B413" s="6"/>
      <c r="C413" s="6"/>
      <c r="D413" s="6"/>
      <c r="E413" s="7"/>
      <c r="F413" s="6"/>
      <c r="G413" s="51"/>
    </row>
    <row r="414" spans="1:7" ht="15">
      <c r="A414" s="9"/>
      <c r="B414" s="6"/>
      <c r="C414" s="6"/>
      <c r="D414" s="6"/>
      <c r="E414" s="7"/>
      <c r="F414" s="6"/>
      <c r="G414" s="51"/>
    </row>
    <row r="415" spans="1:7" ht="15">
      <c r="A415" s="9"/>
      <c r="B415" s="6"/>
      <c r="C415" s="6"/>
      <c r="D415" s="6"/>
      <c r="E415" s="7"/>
      <c r="F415" s="6"/>
      <c r="G415" s="51"/>
    </row>
    <row r="416" spans="1:7" ht="15">
      <c r="A416" s="9"/>
      <c r="B416" s="6"/>
      <c r="C416" s="6"/>
      <c r="D416" s="6"/>
      <c r="E416" s="7"/>
      <c r="F416" s="6"/>
      <c r="G416" s="51"/>
    </row>
    <row r="417" spans="1:7" ht="15">
      <c r="A417" s="9"/>
      <c r="B417" s="6"/>
      <c r="C417" s="6"/>
      <c r="D417" s="6"/>
      <c r="E417" s="7"/>
      <c r="F417" s="6"/>
      <c r="G417" s="51"/>
    </row>
    <row r="418" spans="1:7" ht="15">
      <c r="A418" s="9"/>
      <c r="B418" s="6"/>
      <c r="C418" s="6"/>
      <c r="D418" s="6"/>
      <c r="E418" s="7"/>
      <c r="F418" s="6"/>
      <c r="G418" s="51"/>
    </row>
    <row r="419" spans="1:7" ht="15">
      <c r="A419" s="9"/>
      <c r="B419" s="6"/>
      <c r="C419" s="6"/>
      <c r="D419" s="6"/>
      <c r="E419" s="7"/>
      <c r="F419" s="6"/>
      <c r="G419" s="51"/>
    </row>
    <row r="420" spans="1:7" ht="15">
      <c r="A420" s="9"/>
      <c r="B420" s="6"/>
      <c r="C420" s="6"/>
      <c r="D420" s="6"/>
      <c r="E420" s="7"/>
      <c r="F420" s="6"/>
      <c r="G420" s="51"/>
    </row>
    <row r="421" spans="1:7" ht="15">
      <c r="A421" s="9"/>
      <c r="B421" s="6"/>
      <c r="C421" s="6"/>
      <c r="D421" s="6"/>
      <c r="E421" s="7"/>
      <c r="F421" s="6"/>
      <c r="G421" s="51"/>
    </row>
    <row r="422" spans="1:7" ht="15">
      <c r="A422" s="9"/>
      <c r="B422" s="6"/>
      <c r="C422" s="6"/>
      <c r="D422" s="6"/>
      <c r="E422" s="7"/>
      <c r="F422" s="6"/>
      <c r="G422" s="51"/>
    </row>
    <row r="423" spans="1:7" ht="15">
      <c r="A423" s="9"/>
      <c r="B423" s="6"/>
      <c r="C423" s="6"/>
      <c r="D423" s="6"/>
      <c r="E423" s="7"/>
      <c r="F423" s="6"/>
      <c r="G423" s="51"/>
    </row>
    <row r="424" spans="1:7" ht="15">
      <c r="A424" s="9"/>
      <c r="B424" s="6"/>
      <c r="C424" s="6"/>
      <c r="D424" s="6"/>
      <c r="E424" s="7"/>
      <c r="F424" s="6"/>
      <c r="G424" s="51"/>
    </row>
    <row r="425" spans="1:7" ht="15">
      <c r="A425" s="9"/>
      <c r="B425" s="6"/>
      <c r="C425" s="6"/>
      <c r="D425" s="6"/>
      <c r="E425" s="7"/>
      <c r="F425" s="6"/>
      <c r="G425" s="51"/>
    </row>
    <row r="426" spans="1:7" ht="15">
      <c r="A426" s="9"/>
      <c r="B426" s="6"/>
      <c r="C426" s="6"/>
      <c r="D426" s="6"/>
      <c r="E426" s="7"/>
      <c r="F426" s="6"/>
      <c r="G426" s="51"/>
    </row>
    <row r="427" spans="1:7" ht="15">
      <c r="A427" s="9"/>
      <c r="B427" s="6"/>
      <c r="C427" s="6"/>
      <c r="D427" s="6"/>
      <c r="E427" s="7"/>
      <c r="F427" s="6"/>
      <c r="G427" s="51"/>
    </row>
    <row r="428" spans="1:7" ht="15">
      <c r="A428" s="9"/>
      <c r="B428" s="6"/>
      <c r="C428" s="6"/>
      <c r="D428" s="6"/>
      <c r="E428" s="7"/>
      <c r="F428" s="6"/>
      <c r="G428" s="51"/>
    </row>
    <row r="429" spans="1:7" ht="15">
      <c r="A429" s="9"/>
      <c r="B429" s="6"/>
      <c r="C429" s="6"/>
      <c r="D429" s="6"/>
      <c r="E429" s="7"/>
      <c r="F429" s="6"/>
      <c r="G429" s="51"/>
    </row>
    <row r="430" spans="1:7" ht="15">
      <c r="A430" s="9"/>
      <c r="B430" s="6"/>
      <c r="C430" s="6"/>
      <c r="D430" s="6"/>
      <c r="E430" s="7"/>
      <c r="F430" s="6"/>
      <c r="G430" s="51"/>
    </row>
    <row r="431" spans="1:7" ht="15">
      <c r="A431" s="9"/>
      <c r="B431" s="6"/>
      <c r="C431" s="6"/>
      <c r="D431" s="6"/>
      <c r="E431" s="7"/>
      <c r="F431" s="6"/>
      <c r="G431" s="51"/>
    </row>
    <row r="432" spans="1:7" ht="15">
      <c r="A432" s="9"/>
      <c r="B432" s="6"/>
      <c r="C432" s="6"/>
      <c r="D432" s="6"/>
      <c r="E432" s="7"/>
      <c r="F432" s="6"/>
      <c r="G432" s="51"/>
    </row>
    <row r="433" spans="1:7" ht="15">
      <c r="A433" s="9"/>
      <c r="B433" s="6"/>
      <c r="C433" s="6"/>
      <c r="D433" s="6"/>
      <c r="E433" s="7"/>
      <c r="F433" s="6"/>
      <c r="G433" s="51"/>
    </row>
    <row r="434" spans="1:7" ht="15">
      <c r="A434" s="9"/>
      <c r="B434" s="6"/>
      <c r="C434" s="6"/>
      <c r="D434" s="6"/>
      <c r="E434" s="7"/>
      <c r="F434" s="6"/>
      <c r="G434" s="51"/>
    </row>
    <row r="435" spans="1:7" ht="15">
      <c r="A435" s="9"/>
      <c r="B435" s="6"/>
      <c r="C435" s="6"/>
      <c r="D435" s="6"/>
      <c r="E435" s="7"/>
      <c r="F435" s="6"/>
      <c r="G435" s="51"/>
    </row>
    <row r="436" spans="1:7" ht="15">
      <c r="A436" s="9"/>
      <c r="B436" s="6"/>
      <c r="C436" s="6"/>
      <c r="D436" s="6"/>
      <c r="E436" s="7"/>
      <c r="F436" s="6"/>
      <c r="G436" s="51"/>
    </row>
    <row r="437" spans="1:7" ht="15">
      <c r="A437" s="9"/>
      <c r="B437" s="6"/>
      <c r="C437" s="6"/>
      <c r="D437" s="6"/>
      <c r="E437" s="7"/>
      <c r="F437" s="6"/>
      <c r="G437" s="51"/>
    </row>
    <row r="438" spans="1:7" ht="15">
      <c r="A438" s="9"/>
      <c r="B438" s="6"/>
      <c r="C438" s="6"/>
      <c r="D438" s="6"/>
      <c r="E438" s="7"/>
      <c r="F438" s="6"/>
      <c r="G438" s="51"/>
    </row>
    <row r="439" spans="1:7" ht="15">
      <c r="A439" s="9"/>
      <c r="B439" s="6"/>
      <c r="C439" s="6"/>
      <c r="D439" s="6"/>
      <c r="E439" s="7"/>
      <c r="F439" s="6"/>
      <c r="G439" s="51"/>
    </row>
    <row r="440" spans="1:7" ht="15">
      <c r="A440" s="9"/>
      <c r="B440" s="6"/>
      <c r="C440" s="6"/>
      <c r="D440" s="6"/>
      <c r="E440" s="7"/>
      <c r="F440" s="6"/>
      <c r="G440" s="51"/>
    </row>
    <row r="441" spans="1:7" ht="15">
      <c r="A441" s="9"/>
      <c r="B441" s="6"/>
      <c r="C441" s="6"/>
      <c r="D441" s="6"/>
      <c r="E441" s="7"/>
      <c r="F441" s="6"/>
      <c r="G441" s="51"/>
    </row>
    <row r="442" spans="1:7" ht="15">
      <c r="A442" s="9"/>
      <c r="B442" s="6"/>
      <c r="C442" s="6"/>
      <c r="D442" s="6"/>
      <c r="E442" s="7"/>
      <c r="F442" s="6"/>
      <c r="G442" s="51"/>
    </row>
    <row r="443" spans="1:7" ht="15">
      <c r="A443" s="9"/>
      <c r="B443" s="6"/>
      <c r="C443" s="6"/>
      <c r="D443" s="6"/>
      <c r="E443" s="7"/>
      <c r="F443" s="6"/>
      <c r="G443" s="51"/>
    </row>
    <row r="444" spans="1:7" ht="15">
      <c r="A444" s="9"/>
      <c r="B444" s="6"/>
      <c r="C444" s="6"/>
      <c r="D444" s="6"/>
      <c r="E444" s="7"/>
      <c r="F444" s="6"/>
      <c r="G444" s="51"/>
    </row>
    <row r="445" spans="1:7" ht="15">
      <c r="A445" s="9"/>
      <c r="B445" s="6"/>
      <c r="C445" s="6"/>
      <c r="D445" s="6"/>
      <c r="E445" s="7"/>
      <c r="F445" s="6"/>
      <c r="G445" s="51"/>
    </row>
    <row r="446" spans="1:7" ht="15">
      <c r="A446" s="9"/>
      <c r="B446" s="6"/>
      <c r="C446" s="6"/>
      <c r="D446" s="6"/>
      <c r="E446" s="7"/>
      <c r="F446" s="6"/>
      <c r="G446" s="51"/>
    </row>
    <row r="447" spans="1:7" ht="15">
      <c r="A447" s="9"/>
      <c r="B447" s="6"/>
      <c r="C447" s="6"/>
      <c r="D447" s="6"/>
      <c r="E447" s="7"/>
      <c r="F447" s="6"/>
      <c r="G447" s="51"/>
    </row>
    <row r="448" spans="1:7" ht="15">
      <c r="A448" s="9"/>
      <c r="B448" s="6"/>
      <c r="C448" s="6"/>
      <c r="D448" s="6"/>
      <c r="E448" s="7"/>
      <c r="F448" s="6"/>
      <c r="G448" s="51"/>
    </row>
    <row r="449" spans="1:7" ht="15">
      <c r="A449" s="9"/>
      <c r="B449" s="6"/>
      <c r="C449" s="6"/>
      <c r="D449" s="6"/>
      <c r="E449" s="7"/>
      <c r="F449" s="6"/>
      <c r="G449" s="51"/>
    </row>
    <row r="450" spans="1:7" ht="15">
      <c r="A450" s="9"/>
      <c r="B450" s="6"/>
      <c r="C450" s="6"/>
      <c r="D450" s="6"/>
      <c r="E450" s="7"/>
      <c r="F450" s="6"/>
      <c r="G450" s="51"/>
    </row>
    <row r="451" spans="1:7" ht="15">
      <c r="A451" s="9"/>
      <c r="B451" s="6"/>
      <c r="C451" s="6"/>
      <c r="D451" s="6"/>
      <c r="E451" s="7"/>
      <c r="F451" s="6"/>
      <c r="G451" s="51"/>
    </row>
    <row r="452" spans="1:7" ht="15">
      <c r="A452" s="9"/>
      <c r="B452" s="6"/>
      <c r="C452" s="6"/>
      <c r="D452" s="6"/>
      <c r="E452" s="7"/>
      <c r="F452" s="6"/>
      <c r="G452" s="51"/>
    </row>
    <row r="453" spans="1:7" ht="15">
      <c r="A453" s="9"/>
      <c r="B453" s="6"/>
      <c r="C453" s="6"/>
      <c r="D453" s="6"/>
      <c r="E453" s="7"/>
      <c r="F453" s="6"/>
      <c r="G453" s="51"/>
    </row>
    <row r="454" spans="1:7" ht="15">
      <c r="A454" s="9"/>
      <c r="B454" s="6"/>
      <c r="C454" s="6"/>
      <c r="D454" s="6"/>
      <c r="E454" s="7"/>
      <c r="F454" s="6"/>
      <c r="G454" s="51"/>
    </row>
    <row r="455" spans="1:7" ht="15">
      <c r="A455" s="9"/>
      <c r="B455" s="6"/>
      <c r="C455" s="6"/>
      <c r="D455" s="6"/>
      <c r="E455" s="7"/>
      <c r="F455" s="6"/>
      <c r="G455" s="51"/>
    </row>
    <row r="456" spans="1:7" ht="15">
      <c r="A456" s="9"/>
      <c r="B456" s="6"/>
      <c r="C456" s="6"/>
      <c r="D456" s="6"/>
      <c r="E456" s="7"/>
      <c r="F456" s="6"/>
      <c r="G456" s="51"/>
    </row>
    <row r="457" spans="1:7" ht="15">
      <c r="A457" s="9"/>
      <c r="B457" s="6"/>
      <c r="C457" s="6"/>
      <c r="D457" s="6"/>
      <c r="E457" s="7"/>
      <c r="F457" s="6"/>
      <c r="G457" s="51"/>
    </row>
    <row r="458" spans="1:7" ht="15">
      <c r="A458" s="9"/>
      <c r="B458" s="6"/>
      <c r="C458" s="6"/>
      <c r="D458" s="6"/>
      <c r="E458" s="7"/>
      <c r="F458" s="6"/>
      <c r="G458" s="51"/>
    </row>
    <row r="459" spans="1:7" ht="15">
      <c r="A459" s="9"/>
      <c r="B459" s="6"/>
      <c r="C459" s="6"/>
      <c r="D459" s="6"/>
      <c r="E459" s="7"/>
      <c r="F459" s="6"/>
      <c r="G459" s="51"/>
    </row>
    <row r="460" spans="1:7" ht="15">
      <c r="A460" s="9"/>
      <c r="B460" s="6"/>
      <c r="C460" s="6"/>
      <c r="D460" s="6"/>
      <c r="E460" s="7"/>
      <c r="F460" s="6"/>
      <c r="G460" s="51"/>
    </row>
    <row r="461" spans="1:7" ht="15">
      <c r="A461" s="9"/>
      <c r="B461" s="6"/>
      <c r="C461" s="6"/>
      <c r="D461" s="6"/>
      <c r="E461" s="7"/>
      <c r="F461" s="6"/>
      <c r="G461" s="51"/>
    </row>
    <row r="462" spans="1:7" ht="15">
      <c r="A462" s="9"/>
      <c r="B462" s="6"/>
      <c r="C462" s="6"/>
      <c r="D462" s="6"/>
      <c r="E462" s="7"/>
      <c r="F462" s="6"/>
      <c r="G462" s="51"/>
    </row>
    <row r="463" spans="1:7" ht="15">
      <c r="A463" s="9"/>
      <c r="B463" s="6"/>
      <c r="C463" s="6"/>
      <c r="D463" s="6"/>
      <c r="E463" s="7"/>
      <c r="F463" s="6"/>
      <c r="G463" s="51"/>
    </row>
    <row r="464" spans="1:7" ht="15">
      <c r="A464" s="9"/>
      <c r="B464" s="6"/>
      <c r="C464" s="6"/>
      <c r="D464" s="6"/>
      <c r="E464" s="7"/>
      <c r="F464" s="6"/>
      <c r="G464" s="51"/>
    </row>
    <row r="465" spans="1:7" ht="15">
      <c r="A465" s="9"/>
      <c r="B465" s="6"/>
      <c r="C465" s="6"/>
      <c r="D465" s="6"/>
      <c r="E465" s="7"/>
      <c r="F465" s="6"/>
      <c r="G465" s="51"/>
    </row>
    <row r="466" spans="1:7" ht="15">
      <c r="A466" s="9"/>
      <c r="B466" s="6"/>
      <c r="C466" s="6"/>
      <c r="D466" s="6"/>
      <c r="E466" s="7"/>
      <c r="F466" s="6"/>
      <c r="G466" s="51"/>
    </row>
    <row r="467" spans="1:7" ht="15">
      <c r="A467" s="9"/>
      <c r="B467" s="6"/>
      <c r="C467" s="6"/>
      <c r="D467" s="6"/>
      <c r="E467" s="7"/>
      <c r="F467" s="6"/>
      <c r="G467" s="51"/>
    </row>
    <row r="468" spans="1:7" ht="15">
      <c r="A468" s="9"/>
      <c r="B468" s="6"/>
      <c r="C468" s="6"/>
      <c r="D468" s="6"/>
      <c r="E468" s="7"/>
      <c r="F468" s="6"/>
      <c r="G468" s="51"/>
    </row>
    <row r="469" spans="1:7" ht="15">
      <c r="A469" s="9"/>
      <c r="B469" s="6"/>
      <c r="C469" s="6"/>
      <c r="D469" s="6"/>
      <c r="E469" s="7"/>
      <c r="F469" s="6"/>
      <c r="G469" s="51"/>
    </row>
    <row r="470" spans="1:7" ht="15">
      <c r="A470" s="9"/>
      <c r="B470" s="6"/>
      <c r="C470" s="6"/>
      <c r="D470" s="6"/>
      <c r="E470" s="7"/>
      <c r="F470" s="6"/>
      <c r="G470" s="51"/>
    </row>
    <row r="471" spans="1:7" ht="15">
      <c r="A471" s="9"/>
      <c r="B471" s="6"/>
      <c r="C471" s="6"/>
      <c r="D471" s="6"/>
      <c r="E471" s="7"/>
      <c r="F471" s="6"/>
      <c r="G471" s="51"/>
    </row>
    <row r="472" spans="1:7" ht="15">
      <c r="A472" s="9"/>
      <c r="B472" s="6"/>
      <c r="C472" s="6"/>
      <c r="D472" s="6"/>
      <c r="E472" s="7"/>
      <c r="F472" s="6"/>
      <c r="G472" s="51"/>
    </row>
    <row r="473" spans="1:7" ht="15">
      <c r="A473" s="9"/>
      <c r="B473" s="6"/>
      <c r="C473" s="6"/>
      <c r="D473" s="6"/>
      <c r="E473" s="7"/>
      <c r="F473" s="6"/>
      <c r="G473" s="51"/>
    </row>
    <row r="474" spans="1:7" ht="15">
      <c r="A474" s="9"/>
      <c r="B474" s="6"/>
      <c r="C474" s="6"/>
      <c r="D474" s="6"/>
      <c r="E474" s="7"/>
      <c r="F474" s="6"/>
      <c r="G474" s="51"/>
    </row>
    <row r="475" spans="1:7" ht="15">
      <c r="A475" s="9"/>
      <c r="B475" s="6"/>
      <c r="C475" s="6"/>
      <c r="D475" s="6"/>
      <c r="E475" s="7"/>
      <c r="F475" s="6"/>
      <c r="G475" s="51"/>
    </row>
    <row r="476" spans="1:7" ht="15">
      <c r="A476" s="9"/>
      <c r="B476" s="6"/>
      <c r="C476" s="6"/>
      <c r="D476" s="6"/>
      <c r="E476" s="7"/>
      <c r="F476" s="6"/>
      <c r="G476" s="51"/>
    </row>
    <row r="477" spans="1:7" ht="15">
      <c r="A477" s="9"/>
      <c r="B477" s="6"/>
      <c r="C477" s="6"/>
      <c r="D477" s="6"/>
      <c r="E477" s="7"/>
      <c r="F477" s="6"/>
      <c r="G477" s="51"/>
    </row>
    <row r="478" spans="1:7" ht="15">
      <c r="A478" s="9"/>
      <c r="B478" s="6"/>
      <c r="C478" s="6"/>
      <c r="D478" s="6"/>
      <c r="E478" s="7"/>
      <c r="F478" s="6"/>
      <c r="G478" s="51"/>
    </row>
    <row r="479" spans="1:7" ht="15">
      <c r="A479" s="9"/>
      <c r="B479" s="6"/>
      <c r="C479" s="6"/>
      <c r="D479" s="6"/>
      <c r="E479" s="7"/>
      <c r="F479" s="6"/>
      <c r="G479" s="51"/>
    </row>
    <row r="480" spans="1:7" ht="15">
      <c r="A480" s="9"/>
      <c r="B480" s="6"/>
      <c r="C480" s="6"/>
      <c r="D480" s="6"/>
      <c r="E480" s="7"/>
      <c r="F480" s="6"/>
      <c r="G480" s="51"/>
    </row>
    <row r="481" spans="1:7" ht="15">
      <c r="A481" s="9"/>
      <c r="B481" s="6"/>
      <c r="C481" s="6"/>
      <c r="D481" s="6"/>
      <c r="E481" s="7"/>
      <c r="F481" s="6"/>
      <c r="G481" s="51"/>
    </row>
    <row r="482" spans="1:7" ht="15">
      <c r="A482" s="9"/>
      <c r="B482" s="6"/>
      <c r="C482" s="6"/>
      <c r="D482" s="6"/>
      <c r="E482" s="7"/>
      <c r="F482" s="6"/>
      <c r="G482" s="51"/>
    </row>
    <row r="483" spans="1:7" ht="15">
      <c r="A483" s="9"/>
      <c r="B483" s="6"/>
      <c r="C483" s="6"/>
      <c r="D483" s="6"/>
      <c r="E483" s="7"/>
      <c r="F483" s="6"/>
      <c r="G483" s="51"/>
    </row>
    <row r="484" spans="1:7" ht="15">
      <c r="A484" s="9"/>
      <c r="B484" s="6"/>
      <c r="C484" s="6"/>
      <c r="D484" s="6"/>
      <c r="E484" s="7"/>
      <c r="F484" s="6"/>
      <c r="G484" s="51"/>
    </row>
    <row r="485" spans="1:7" ht="15">
      <c r="A485" s="9"/>
      <c r="B485" s="6"/>
      <c r="C485" s="6"/>
      <c r="D485" s="6"/>
      <c r="E485" s="7"/>
      <c r="F485" s="6"/>
      <c r="G485" s="51"/>
    </row>
    <row r="486" spans="1:7" ht="15">
      <c r="A486" s="9"/>
      <c r="B486" s="6"/>
      <c r="C486" s="6"/>
      <c r="D486" s="6"/>
      <c r="E486" s="7"/>
      <c r="F486" s="6"/>
      <c r="G486" s="51"/>
    </row>
    <row r="487" spans="1:7" ht="15">
      <c r="A487" s="9"/>
      <c r="B487" s="6"/>
      <c r="C487" s="6"/>
      <c r="D487" s="6"/>
      <c r="E487" s="7"/>
      <c r="F487" s="6"/>
      <c r="G487" s="51"/>
    </row>
    <row r="488" spans="1:7" ht="15">
      <c r="A488" s="9"/>
      <c r="B488" s="6"/>
      <c r="C488" s="6"/>
      <c r="D488" s="6"/>
      <c r="E488" s="7"/>
      <c r="F488" s="6"/>
      <c r="G488" s="51"/>
    </row>
    <row r="489" spans="1:7" ht="15">
      <c r="A489" s="9"/>
      <c r="B489" s="6"/>
      <c r="C489" s="6"/>
      <c r="D489" s="6"/>
      <c r="E489" s="7"/>
      <c r="F489" s="6"/>
      <c r="G489" s="51"/>
    </row>
    <row r="490" spans="1:7" ht="15">
      <c r="A490" s="9"/>
      <c r="B490" s="6"/>
      <c r="C490" s="6"/>
      <c r="D490" s="6"/>
      <c r="E490" s="7"/>
      <c r="F490" s="6"/>
      <c r="G490" s="51"/>
    </row>
    <row r="491" spans="1:7" ht="15">
      <c r="A491" s="9"/>
      <c r="B491" s="6"/>
      <c r="C491" s="6"/>
      <c r="D491" s="6"/>
      <c r="E491" s="7"/>
      <c r="F491" s="6"/>
      <c r="G491" s="51"/>
    </row>
    <row r="492" spans="1:7" ht="15">
      <c r="A492" s="9"/>
      <c r="B492" s="6"/>
      <c r="C492" s="6"/>
      <c r="D492" s="6"/>
      <c r="E492" s="7"/>
      <c r="F492" s="6"/>
      <c r="G492" s="51"/>
    </row>
    <row r="493" spans="1:7" ht="15">
      <c r="A493" s="9"/>
      <c r="B493" s="6"/>
      <c r="C493" s="6"/>
      <c r="D493" s="6"/>
      <c r="E493" s="7"/>
      <c r="F493" s="6"/>
      <c r="G493" s="51"/>
    </row>
    <row r="494" spans="1:7" ht="15">
      <c r="A494" s="9"/>
      <c r="B494" s="6"/>
      <c r="C494" s="6"/>
      <c r="D494" s="6"/>
      <c r="E494" s="7"/>
      <c r="F494" s="6"/>
      <c r="G494" s="51"/>
    </row>
    <row r="495" spans="1:7" ht="15">
      <c r="A495" s="9"/>
      <c r="B495" s="6"/>
      <c r="C495" s="6"/>
      <c r="D495" s="6"/>
      <c r="E495" s="7"/>
      <c r="F495" s="6"/>
      <c r="G495" s="51"/>
    </row>
    <row r="496" spans="1:7" ht="15">
      <c r="A496" s="9"/>
      <c r="B496" s="6"/>
      <c r="C496" s="6"/>
      <c r="D496" s="6"/>
      <c r="E496" s="7"/>
      <c r="F496" s="6"/>
      <c r="G496" s="51"/>
    </row>
    <row r="497" spans="1:7" ht="15">
      <c r="A497" s="9"/>
      <c r="B497" s="6"/>
      <c r="C497" s="6"/>
      <c r="D497" s="6"/>
      <c r="E497" s="7"/>
      <c r="F497" s="6"/>
      <c r="G497" s="51"/>
    </row>
    <row r="498" spans="1:7" ht="15">
      <c r="A498" s="9"/>
      <c r="B498" s="6"/>
      <c r="C498" s="6"/>
      <c r="D498" s="6"/>
      <c r="E498" s="7"/>
      <c r="F498" s="6"/>
      <c r="G498" s="51"/>
    </row>
    <row r="499" spans="1:7" ht="15">
      <c r="A499" s="9"/>
      <c r="B499" s="6"/>
      <c r="C499" s="6"/>
      <c r="D499" s="6"/>
      <c r="E499" s="7"/>
      <c r="F499" s="6"/>
      <c r="G499" s="51"/>
    </row>
    <row r="500" spans="1:7" ht="15">
      <c r="A500" s="9"/>
      <c r="B500" s="6"/>
      <c r="C500" s="6"/>
      <c r="D500" s="6"/>
      <c r="E500" s="7"/>
      <c r="F500" s="6"/>
      <c r="G500" s="51"/>
    </row>
    <row r="501" spans="1:7" ht="15">
      <c r="A501" s="9"/>
      <c r="B501" s="6"/>
      <c r="C501" s="6"/>
      <c r="D501" s="6"/>
      <c r="E501" s="7"/>
      <c r="F501" s="6"/>
      <c r="G501" s="51"/>
    </row>
    <row r="502" spans="1:7" ht="15">
      <c r="A502" s="9"/>
      <c r="B502" s="6"/>
      <c r="C502" s="6"/>
      <c r="D502" s="6"/>
      <c r="E502" s="7"/>
      <c r="F502" s="6"/>
      <c r="G502" s="51"/>
    </row>
    <row r="503" spans="1:7" ht="15">
      <c r="A503" s="9"/>
      <c r="B503" s="6"/>
      <c r="C503" s="6"/>
      <c r="D503" s="6"/>
      <c r="E503" s="7"/>
      <c r="F503" s="6"/>
      <c r="G503" s="51"/>
    </row>
    <row r="504" spans="1:7" ht="15">
      <c r="A504" s="9"/>
      <c r="B504" s="6"/>
      <c r="C504" s="6"/>
      <c r="D504" s="6"/>
      <c r="E504" s="7"/>
      <c r="F504" s="6"/>
      <c r="G504" s="51"/>
    </row>
    <row r="505" spans="1:7" ht="15">
      <c r="A505" s="9"/>
      <c r="B505" s="6"/>
      <c r="C505" s="6"/>
      <c r="D505" s="6"/>
      <c r="E505" s="7"/>
      <c r="F505" s="6"/>
      <c r="G505" s="51"/>
    </row>
    <row r="506" spans="1:7" ht="15">
      <c r="A506" s="9"/>
      <c r="B506" s="6"/>
      <c r="C506" s="6"/>
      <c r="D506" s="6"/>
      <c r="E506" s="7"/>
      <c r="F506" s="6"/>
      <c r="G506" s="51"/>
    </row>
    <row r="507" spans="1:7" ht="15">
      <c r="A507" s="9"/>
      <c r="B507" s="6"/>
      <c r="C507" s="6"/>
      <c r="D507" s="6"/>
      <c r="E507" s="7"/>
      <c r="F507" s="6"/>
      <c r="G507" s="51"/>
    </row>
    <row r="508" spans="1:7" ht="15">
      <c r="A508" s="9"/>
      <c r="B508" s="6"/>
      <c r="C508" s="6"/>
      <c r="D508" s="6"/>
      <c r="E508" s="7"/>
      <c r="F508" s="6"/>
      <c r="G508" s="51"/>
    </row>
    <row r="509" spans="1:7" ht="15">
      <c r="A509" s="9"/>
      <c r="B509" s="6"/>
      <c r="C509" s="6"/>
      <c r="D509" s="6"/>
      <c r="E509" s="7"/>
      <c r="F509" s="6"/>
      <c r="G509" s="51"/>
    </row>
    <row r="510" spans="1:7" ht="15">
      <c r="A510" s="9"/>
      <c r="B510" s="6"/>
      <c r="C510" s="6"/>
      <c r="D510" s="6"/>
      <c r="E510" s="7"/>
      <c r="F510" s="6"/>
      <c r="G510" s="51"/>
    </row>
    <row r="511" spans="1:7" ht="15">
      <c r="A511" s="9"/>
      <c r="B511" s="6"/>
      <c r="C511" s="6"/>
      <c r="D511" s="6"/>
      <c r="E511" s="7"/>
      <c r="F511" s="6"/>
      <c r="G511" s="51"/>
    </row>
    <row r="512" spans="1:7" ht="15">
      <c r="A512" s="9"/>
      <c r="B512" s="6"/>
      <c r="C512" s="6"/>
      <c r="D512" s="6"/>
      <c r="E512" s="7"/>
      <c r="F512" s="6"/>
      <c r="G512" s="51"/>
    </row>
    <row r="513" spans="1:7" ht="15">
      <c r="A513" s="9"/>
      <c r="B513" s="6"/>
      <c r="C513" s="6"/>
      <c r="D513" s="6"/>
      <c r="E513" s="7"/>
      <c r="F513" s="6"/>
      <c r="G513" s="51"/>
    </row>
    <row r="514" spans="1:7" ht="15">
      <c r="A514" s="9"/>
      <c r="B514" s="6"/>
      <c r="C514" s="6"/>
      <c r="D514" s="6"/>
      <c r="E514" s="7"/>
      <c r="F514" s="6"/>
      <c r="G514" s="51"/>
    </row>
    <row r="515" spans="1:7" ht="15">
      <c r="A515" s="9"/>
      <c r="B515" s="6"/>
      <c r="C515" s="6"/>
      <c r="D515" s="6"/>
      <c r="E515" s="7"/>
      <c r="F515" s="6"/>
      <c r="G515" s="51"/>
    </row>
    <row r="516" spans="1:7" ht="15">
      <c r="A516" s="9"/>
      <c r="B516" s="6"/>
      <c r="C516" s="6"/>
      <c r="D516" s="6"/>
      <c r="E516" s="7"/>
      <c r="F516" s="6"/>
      <c r="G516" s="51"/>
    </row>
    <row r="517" spans="1:7" ht="15">
      <c r="A517" s="9"/>
      <c r="B517" s="6"/>
      <c r="C517" s="6"/>
      <c r="D517" s="6"/>
      <c r="E517" s="7"/>
      <c r="F517" s="6"/>
      <c r="G517" s="51"/>
    </row>
    <row r="518" spans="1:7" ht="15">
      <c r="A518" s="9"/>
      <c r="B518" s="6"/>
      <c r="C518" s="6"/>
      <c r="D518" s="6"/>
      <c r="E518" s="7"/>
      <c r="F518" s="6"/>
      <c r="G518" s="51"/>
    </row>
    <row r="519" spans="1:7" ht="15">
      <c r="A519" s="9"/>
      <c r="B519" s="6"/>
      <c r="C519" s="6"/>
      <c r="D519" s="6"/>
      <c r="E519" s="7"/>
      <c r="F519" s="6"/>
      <c r="G519" s="51"/>
    </row>
    <row r="520" spans="1:7" ht="15">
      <c r="A520" s="9"/>
      <c r="B520" s="6"/>
      <c r="C520" s="6"/>
      <c r="D520" s="6"/>
      <c r="E520" s="7"/>
      <c r="F520" s="6"/>
      <c r="G520" s="51"/>
    </row>
    <row r="521" spans="1:7" ht="15">
      <c r="A521" s="9"/>
      <c r="B521" s="6"/>
      <c r="C521" s="6"/>
      <c r="D521" s="6"/>
      <c r="E521" s="7"/>
      <c r="F521" s="6"/>
      <c r="G521" s="51"/>
    </row>
    <row r="522" spans="1:7" ht="15">
      <c r="A522" s="9"/>
      <c r="B522" s="6"/>
      <c r="C522" s="6"/>
      <c r="D522" s="6"/>
      <c r="E522" s="7"/>
      <c r="F522" s="6"/>
      <c r="G522" s="51"/>
    </row>
    <row r="523" spans="1:7" ht="15">
      <c r="A523" s="9"/>
      <c r="B523" s="6"/>
      <c r="C523" s="6"/>
      <c r="D523" s="6"/>
      <c r="E523" s="7"/>
      <c r="F523" s="6"/>
      <c r="G523" s="51"/>
    </row>
    <row r="524" spans="1:7" ht="15">
      <c r="A524" s="9"/>
      <c r="B524" s="6"/>
      <c r="C524" s="6"/>
      <c r="D524" s="6"/>
      <c r="E524" s="7"/>
      <c r="F524" s="6"/>
      <c r="G524" s="51"/>
    </row>
    <row r="525" spans="1:7" ht="15">
      <c r="A525" s="9"/>
      <c r="B525" s="6"/>
      <c r="C525" s="6"/>
      <c r="D525" s="6"/>
      <c r="E525" s="7"/>
      <c r="F525" s="6"/>
      <c r="G525" s="51"/>
    </row>
    <row r="526" spans="1:7" ht="15">
      <c r="A526" s="9"/>
      <c r="B526" s="6"/>
      <c r="C526" s="6"/>
      <c r="D526" s="6"/>
      <c r="E526" s="7"/>
      <c r="F526" s="6"/>
      <c r="G526" s="51"/>
    </row>
    <row r="527" spans="1:7" ht="15">
      <c r="A527" s="9"/>
      <c r="B527" s="6"/>
      <c r="C527" s="6"/>
      <c r="D527" s="6"/>
      <c r="E527" s="7"/>
      <c r="F527" s="6"/>
      <c r="G527" s="51"/>
    </row>
    <row r="528" spans="1:7" ht="15">
      <c r="A528" s="9"/>
      <c r="B528" s="6"/>
      <c r="C528" s="6"/>
      <c r="D528" s="6"/>
      <c r="E528" s="7"/>
      <c r="F528" s="6"/>
      <c r="G528" s="51"/>
    </row>
    <row r="529" spans="1:7" ht="15">
      <c r="A529" s="9"/>
      <c r="B529" s="6"/>
      <c r="C529" s="6"/>
      <c r="D529" s="6"/>
      <c r="E529" s="7"/>
      <c r="F529" s="6"/>
      <c r="G529" s="51"/>
    </row>
    <row r="530" spans="1:7" ht="15">
      <c r="A530" s="9"/>
      <c r="B530" s="6"/>
      <c r="C530" s="6"/>
      <c r="D530" s="6"/>
      <c r="E530" s="7"/>
      <c r="F530" s="6"/>
      <c r="G530" s="51"/>
    </row>
    <row r="531" spans="1:7" ht="15">
      <c r="A531" s="9"/>
      <c r="B531" s="6"/>
      <c r="C531" s="6"/>
      <c r="D531" s="6"/>
      <c r="E531" s="7"/>
      <c r="F531" s="6"/>
      <c r="G531" s="51"/>
    </row>
    <row r="532" spans="1:7" ht="15">
      <c r="A532" s="9"/>
      <c r="B532" s="6"/>
      <c r="C532" s="6"/>
      <c r="D532" s="6"/>
      <c r="E532" s="7"/>
      <c r="F532" s="6"/>
      <c r="G532" s="51"/>
    </row>
    <row r="533" spans="1:7" ht="15">
      <c r="A533" s="9"/>
      <c r="B533" s="6"/>
      <c r="C533" s="6"/>
      <c r="D533" s="6"/>
      <c r="E533" s="7"/>
      <c r="F533" s="6"/>
      <c r="G533" s="51"/>
    </row>
    <row r="534" spans="1:7" ht="15">
      <c r="A534" s="9"/>
      <c r="B534" s="6"/>
      <c r="C534" s="6"/>
      <c r="D534" s="6"/>
      <c r="E534" s="7"/>
      <c r="F534" s="6"/>
      <c r="G534" s="51"/>
    </row>
    <row r="535" spans="1:7" ht="15">
      <c r="A535" s="9"/>
      <c r="B535" s="6"/>
      <c r="C535" s="6"/>
      <c r="D535" s="6"/>
      <c r="E535" s="7"/>
      <c r="F535" s="6"/>
      <c r="G535" s="51"/>
    </row>
    <row r="536" spans="1:7" ht="15">
      <c r="A536" s="9"/>
      <c r="B536" s="6"/>
      <c r="C536" s="6"/>
      <c r="D536" s="6"/>
      <c r="E536" s="7"/>
      <c r="F536" s="6"/>
      <c r="G536" s="51"/>
    </row>
    <row r="537" spans="1:7" ht="15">
      <c r="A537" s="9"/>
      <c r="B537" s="6"/>
      <c r="C537" s="6"/>
      <c r="D537" s="6"/>
      <c r="E537" s="7"/>
      <c r="F537" s="6"/>
      <c r="G537" s="51"/>
    </row>
    <row r="538" spans="1:7" ht="15">
      <c r="A538" s="9"/>
      <c r="B538" s="6"/>
      <c r="C538" s="6"/>
      <c r="D538" s="6"/>
      <c r="E538" s="7"/>
      <c r="F538" s="6"/>
      <c r="G538" s="51"/>
    </row>
    <row r="539" spans="1:7" ht="15">
      <c r="A539" s="9"/>
      <c r="B539" s="6"/>
      <c r="C539" s="6"/>
      <c r="D539" s="6"/>
      <c r="E539" s="7"/>
      <c r="F539" s="6"/>
      <c r="G539" s="51"/>
    </row>
    <row r="540" spans="1:7" ht="15">
      <c r="A540" s="9"/>
      <c r="B540" s="6"/>
      <c r="C540" s="6"/>
      <c r="D540" s="6"/>
      <c r="E540" s="7"/>
      <c r="F540" s="6"/>
      <c r="G540" s="51"/>
    </row>
    <row r="541" spans="1:7" ht="15">
      <c r="A541" s="9"/>
      <c r="B541" s="6"/>
      <c r="C541" s="6"/>
      <c r="D541" s="6"/>
      <c r="E541" s="7"/>
      <c r="F541" s="6"/>
      <c r="G541" s="51"/>
    </row>
    <row r="542" spans="1:7" ht="15">
      <c r="A542" s="9"/>
      <c r="B542" s="6"/>
      <c r="C542" s="6"/>
      <c r="D542" s="6"/>
      <c r="E542" s="7"/>
      <c r="F542" s="6"/>
      <c r="G542" s="51"/>
    </row>
    <row r="543" spans="1:7" ht="15">
      <c r="A543" s="9"/>
      <c r="B543" s="6"/>
      <c r="C543" s="6"/>
      <c r="D543" s="6"/>
      <c r="E543" s="7"/>
      <c r="F543" s="6"/>
      <c r="G543" s="51"/>
    </row>
    <row r="544" spans="1:7" ht="15">
      <c r="A544" s="9"/>
      <c r="B544" s="6"/>
      <c r="C544" s="6"/>
      <c r="D544" s="6"/>
      <c r="E544" s="7"/>
      <c r="F544" s="6"/>
      <c r="G544" s="51"/>
    </row>
    <row r="545" spans="1:7" ht="15">
      <c r="A545" s="9"/>
      <c r="B545" s="6"/>
      <c r="C545" s="6"/>
      <c r="D545" s="6"/>
      <c r="E545" s="7"/>
      <c r="F545" s="6"/>
      <c r="G545" s="51"/>
    </row>
    <row r="546" spans="1:7" ht="15">
      <c r="A546" s="9"/>
      <c r="B546" s="6"/>
      <c r="C546" s="6"/>
      <c r="D546" s="6"/>
      <c r="E546" s="7"/>
      <c r="F546" s="6"/>
      <c r="G546" s="51"/>
    </row>
    <row r="547" spans="1:7" ht="15">
      <c r="A547" s="9"/>
      <c r="B547" s="6"/>
      <c r="C547" s="6"/>
      <c r="D547" s="6"/>
      <c r="E547" s="7"/>
      <c r="F547" s="6"/>
      <c r="G547" s="51"/>
    </row>
    <row r="548" spans="1:7" ht="15">
      <c r="A548" s="9"/>
      <c r="B548" s="6"/>
      <c r="C548" s="6"/>
      <c r="D548" s="6"/>
      <c r="E548" s="7"/>
      <c r="F548" s="6"/>
      <c r="G548" s="51"/>
    </row>
    <row r="549" spans="1:7" ht="15">
      <c r="A549" s="9"/>
      <c r="B549" s="6"/>
      <c r="C549" s="6"/>
      <c r="D549" s="6"/>
      <c r="E549" s="7"/>
      <c r="F549" s="6"/>
      <c r="G549" s="51"/>
    </row>
    <row r="550" spans="1:7" ht="15">
      <c r="A550" s="9"/>
      <c r="B550" s="6"/>
      <c r="C550" s="6"/>
      <c r="D550" s="6"/>
      <c r="E550" s="7"/>
      <c r="F550" s="6"/>
      <c r="G550" s="51"/>
    </row>
    <row r="551" spans="1:7" ht="15">
      <c r="A551" s="9"/>
      <c r="B551" s="6"/>
      <c r="C551" s="6"/>
      <c r="D551" s="6"/>
      <c r="E551" s="7"/>
      <c r="F551" s="6"/>
      <c r="G551" s="51"/>
    </row>
    <row r="552" spans="1:7" ht="15">
      <c r="A552" s="9"/>
      <c r="B552" s="6"/>
      <c r="C552" s="6"/>
      <c r="D552" s="6"/>
      <c r="E552" s="7"/>
      <c r="F552" s="6"/>
      <c r="G552" s="51"/>
    </row>
    <row r="553" spans="1:7" ht="15">
      <c r="A553" s="9"/>
      <c r="B553" s="6"/>
      <c r="C553" s="6"/>
      <c r="D553" s="6"/>
      <c r="E553" s="7"/>
      <c r="F553" s="6"/>
      <c r="G553" s="51"/>
    </row>
    <row r="554" spans="1:7" ht="15">
      <c r="A554" s="9"/>
      <c r="B554" s="6"/>
      <c r="C554" s="6"/>
      <c r="D554" s="6"/>
      <c r="E554" s="7"/>
      <c r="F554" s="6"/>
      <c r="G554" s="51"/>
    </row>
    <row r="555" spans="1:7" ht="15">
      <c r="A555" s="9"/>
      <c r="B555" s="6"/>
      <c r="C555" s="6"/>
      <c r="D555" s="6"/>
      <c r="E555" s="7"/>
      <c r="F555" s="6"/>
      <c r="G555" s="51"/>
    </row>
    <row r="556" spans="1:7" ht="15">
      <c r="A556" s="9"/>
      <c r="B556" s="6"/>
      <c r="C556" s="6"/>
      <c r="D556" s="6"/>
      <c r="E556" s="7"/>
      <c r="F556" s="6"/>
      <c r="G556" s="51"/>
    </row>
    <row r="557" spans="1:7" ht="15">
      <c r="A557" s="9"/>
      <c r="B557" s="6"/>
      <c r="C557" s="6"/>
      <c r="D557" s="6"/>
      <c r="E557" s="7"/>
      <c r="F557" s="6"/>
      <c r="G557" s="51"/>
    </row>
    <row r="558" spans="1:7" ht="15">
      <c r="A558" s="9"/>
      <c r="B558" s="6"/>
      <c r="C558" s="6"/>
      <c r="D558" s="6"/>
      <c r="E558" s="7"/>
      <c r="F558" s="6"/>
      <c r="G558" s="51"/>
    </row>
    <row r="559" spans="1:7" ht="15">
      <c r="A559" s="9"/>
      <c r="B559" s="6"/>
      <c r="C559" s="6"/>
      <c r="D559" s="6"/>
      <c r="E559" s="7"/>
      <c r="F559" s="6"/>
      <c r="G559" s="51"/>
    </row>
    <row r="560" spans="1:7" ht="15">
      <c r="A560" s="9"/>
      <c r="B560" s="6"/>
      <c r="C560" s="6"/>
      <c r="D560" s="6"/>
      <c r="E560" s="7"/>
      <c r="F560" s="6"/>
      <c r="G560" s="51"/>
    </row>
    <row r="561" spans="1:7" ht="15">
      <c r="A561" s="9"/>
      <c r="B561" s="6"/>
      <c r="C561" s="6"/>
      <c r="D561" s="6"/>
      <c r="E561" s="7"/>
      <c r="F561" s="6"/>
      <c r="G561" s="51"/>
    </row>
    <row r="562" spans="1:7" ht="15">
      <c r="A562" s="9"/>
      <c r="B562" s="6"/>
      <c r="C562" s="6"/>
      <c r="D562" s="6"/>
      <c r="E562" s="7"/>
      <c r="F562" s="6"/>
      <c r="G562" s="51"/>
    </row>
    <row r="563" spans="1:7" ht="15">
      <c r="A563" s="9"/>
      <c r="B563" s="6"/>
      <c r="C563" s="6"/>
      <c r="D563" s="6"/>
      <c r="E563" s="7"/>
      <c r="F563" s="6"/>
      <c r="G563" s="51"/>
    </row>
    <row r="564" spans="1:7" ht="15">
      <c r="A564" s="9"/>
      <c r="B564" s="6"/>
      <c r="C564" s="6"/>
      <c r="D564" s="6"/>
      <c r="E564" s="7"/>
      <c r="F564" s="6"/>
      <c r="G564" s="51"/>
    </row>
  </sheetData>
  <sheetProtection/>
  <autoFilter ref="A9:G403"/>
  <mergeCells count="4">
    <mergeCell ref="A6:H6"/>
    <mergeCell ref="A7:H7"/>
    <mergeCell ref="D1:F1"/>
    <mergeCell ref="D2:F2"/>
  </mergeCells>
  <printOptions horizontalCentered="1"/>
  <pageMargins left="0.984251968503937" right="0" top="0" bottom="0" header="0" footer="0"/>
  <pageSetup fitToHeight="29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0"/>
  <sheetViews>
    <sheetView view="pageBreakPreview" zoomScale="89" zoomScaleSheetLayoutView="89" zoomScalePageLayoutView="0" workbookViewId="0" topLeftCell="A7">
      <selection activeCell="V15" sqref="V15"/>
    </sheetView>
  </sheetViews>
  <sheetFormatPr defaultColWidth="9.00390625" defaultRowHeight="12.75"/>
  <cols>
    <col min="1" max="1" width="0.875" style="4" customWidth="1"/>
    <col min="2" max="2" width="65.25390625" style="52" customWidth="1"/>
    <col min="3" max="3" width="5.00390625" style="53" customWidth="1"/>
    <col min="4" max="4" width="3.875" style="53" customWidth="1"/>
    <col min="5" max="5" width="4.625" style="53" customWidth="1"/>
    <col min="6" max="6" width="15.875" style="54" customWidth="1"/>
    <col min="7" max="7" width="9.625" style="53" customWidth="1"/>
    <col min="8" max="8" width="13.75390625" style="55" customWidth="1"/>
    <col min="9" max="9" width="0.12890625" style="12" hidden="1" customWidth="1"/>
    <col min="10" max="10" width="8.875" style="12" hidden="1" customWidth="1"/>
    <col min="11" max="11" width="12.625" style="12" hidden="1" customWidth="1"/>
    <col min="12" max="12" width="10.75390625" style="12" hidden="1" customWidth="1"/>
    <col min="13" max="13" width="0.12890625" style="12" hidden="1" customWidth="1"/>
    <col min="14" max="14" width="10.00390625" style="12" hidden="1" customWidth="1"/>
    <col min="15" max="15" width="10.375" style="12" hidden="1" customWidth="1"/>
    <col min="16" max="16" width="11.75390625" style="12" hidden="1" customWidth="1"/>
    <col min="17" max="17" width="9.625" style="12" hidden="1" customWidth="1"/>
    <col min="18" max="18" width="15.25390625" style="60" customWidth="1"/>
    <col min="19" max="19" width="13.875" style="61" customWidth="1"/>
    <col min="20" max="20" width="11.125" style="0" customWidth="1"/>
    <col min="21" max="21" width="11.375" style="0" customWidth="1"/>
    <col min="22" max="22" width="10.75390625" style="0" customWidth="1"/>
  </cols>
  <sheetData>
    <row r="1" spans="1:19" s="1" customFormat="1" ht="18.75">
      <c r="A1" s="6"/>
      <c r="B1" s="100"/>
      <c r="C1" s="100"/>
      <c r="D1" s="100"/>
      <c r="E1" s="122" t="s">
        <v>482</v>
      </c>
      <c r="F1" s="122"/>
      <c r="G1" s="122"/>
      <c r="H1" s="100"/>
      <c r="I1" s="106"/>
      <c r="J1" s="106"/>
      <c r="K1" s="106"/>
      <c r="L1" s="106"/>
      <c r="M1" s="106"/>
      <c r="N1" s="106"/>
      <c r="O1" s="106"/>
      <c r="P1" s="106"/>
      <c r="Q1" s="106"/>
      <c r="R1" s="60"/>
      <c r="S1" s="61"/>
    </row>
    <row r="2" spans="1:19" s="1" customFormat="1" ht="18.75">
      <c r="A2" s="6"/>
      <c r="B2" s="100"/>
      <c r="C2" s="100"/>
      <c r="D2" s="100"/>
      <c r="E2" s="122" t="s">
        <v>478</v>
      </c>
      <c r="F2" s="122"/>
      <c r="G2" s="122"/>
      <c r="H2" s="100"/>
      <c r="I2" s="107" t="e">
        <f>#REF!-I3</f>
        <v>#REF!</v>
      </c>
      <c r="J2" s="106"/>
      <c r="K2" s="106"/>
      <c r="L2" s="106"/>
      <c r="M2" s="106"/>
      <c r="N2" s="106"/>
      <c r="O2" s="106"/>
      <c r="P2" s="106"/>
      <c r="Q2" s="106"/>
      <c r="R2" s="60"/>
      <c r="S2" s="61"/>
    </row>
    <row r="3" spans="1:19" s="1" customFormat="1" ht="15" customHeight="1">
      <c r="A3" s="6"/>
      <c r="B3" s="101"/>
      <c r="C3" s="101"/>
      <c r="D3" s="101"/>
      <c r="E3" s="122" t="s">
        <v>479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61"/>
    </row>
    <row r="4" spans="1:19" s="1" customFormat="1" ht="15.75" customHeight="1">
      <c r="A4" s="6"/>
      <c r="B4" s="5"/>
      <c r="C4" s="6"/>
      <c r="D4" s="6"/>
      <c r="E4" s="104" t="s">
        <v>480</v>
      </c>
      <c r="F4" s="104"/>
      <c r="G4" s="104"/>
      <c r="H4" s="100"/>
      <c r="I4" s="106"/>
      <c r="J4" s="106"/>
      <c r="K4" s="106"/>
      <c r="L4" s="106"/>
      <c r="M4" s="106"/>
      <c r="N4" s="106"/>
      <c r="O4" s="106"/>
      <c r="P4" s="106"/>
      <c r="Q4" s="106"/>
      <c r="R4" s="60"/>
      <c r="S4" s="61"/>
    </row>
    <row r="5" spans="1:19" s="1" customFormat="1" ht="17.25" customHeight="1">
      <c r="A5" s="6"/>
      <c r="B5" s="5"/>
      <c r="C5" s="6"/>
      <c r="D5" s="6"/>
      <c r="E5" s="6"/>
      <c r="F5" s="102"/>
      <c r="G5" s="6"/>
      <c r="H5" s="5"/>
      <c r="I5" s="59"/>
      <c r="J5" s="59"/>
      <c r="K5" s="59"/>
      <c r="L5" s="59"/>
      <c r="M5" s="59"/>
      <c r="N5" s="59"/>
      <c r="O5" s="59"/>
      <c r="P5" s="59"/>
      <c r="Q5" s="59"/>
      <c r="R5" s="60"/>
      <c r="S5" s="61"/>
    </row>
    <row r="6" spans="1:19" s="1" customFormat="1" ht="18.75">
      <c r="A6" s="120" t="s">
        <v>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61"/>
    </row>
    <row r="7" spans="1:19" s="1" customFormat="1" ht="18.75">
      <c r="A7" s="121" t="s">
        <v>481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61"/>
    </row>
    <row r="8" spans="1:19" s="1" customFormat="1" ht="18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5" t="s">
        <v>483</v>
      </c>
      <c r="S8" s="61"/>
    </row>
    <row r="9" spans="1:20" s="1" customFormat="1" ht="60">
      <c r="A9" s="56"/>
      <c r="B9" s="10" t="s">
        <v>57</v>
      </c>
      <c r="C9" s="10" t="s">
        <v>23</v>
      </c>
      <c r="D9" s="10" t="s">
        <v>19</v>
      </c>
      <c r="E9" s="10" t="s">
        <v>20</v>
      </c>
      <c r="F9" s="11" t="s">
        <v>21</v>
      </c>
      <c r="G9" s="10" t="s">
        <v>22</v>
      </c>
      <c r="H9" s="10" t="s">
        <v>475</v>
      </c>
      <c r="I9" s="95"/>
      <c r="J9" s="95"/>
      <c r="K9" s="95"/>
      <c r="L9" s="95"/>
      <c r="M9" s="95"/>
      <c r="N9" s="95"/>
      <c r="O9" s="95"/>
      <c r="P9" s="95"/>
      <c r="Q9" s="95"/>
      <c r="R9" s="79" t="s">
        <v>476</v>
      </c>
      <c r="S9" s="96" t="s">
        <v>477</v>
      </c>
      <c r="T9" s="85"/>
    </row>
    <row r="10" spans="1:22" s="1" customFormat="1" ht="15">
      <c r="A10" s="56"/>
      <c r="B10" s="14" t="s">
        <v>18</v>
      </c>
      <c r="C10" s="81"/>
      <c r="D10" s="81"/>
      <c r="E10" s="81"/>
      <c r="F10" s="15"/>
      <c r="G10" s="82"/>
      <c r="H10" s="16">
        <f aca="true" t="shared" si="0" ref="H10:R10">H11+H159+H233+H312+H335+H383+H419</f>
        <v>420779.52700000006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>
        <f t="shared" si="0"/>
        <v>411713.94</v>
      </c>
      <c r="S10" s="16">
        <f aca="true" t="shared" si="1" ref="S10:S73">R10-H10</f>
        <v>-9065.587000000058</v>
      </c>
      <c r="T10" s="86"/>
      <c r="U10" s="94"/>
      <c r="V10" s="88"/>
    </row>
    <row r="11" spans="1:20" s="1" customFormat="1" ht="29.25" customHeight="1">
      <c r="A11" s="56"/>
      <c r="B11" s="15" t="s">
        <v>48</v>
      </c>
      <c r="C11" s="17" t="s">
        <v>34</v>
      </c>
      <c r="D11" s="17"/>
      <c r="E11" s="17"/>
      <c r="F11" s="18"/>
      <c r="G11" s="17"/>
      <c r="H11" s="16">
        <f aca="true" t="shared" si="2" ref="H11:R11">H12+H72+H83+H117+H138+H154</f>
        <v>43356.740000000005</v>
      </c>
      <c r="I11" s="16" t="e">
        <f t="shared" si="2"/>
        <v>#REF!</v>
      </c>
      <c r="J11" s="16" t="e">
        <f t="shared" si="2"/>
        <v>#REF!</v>
      </c>
      <c r="K11" s="16" t="e">
        <f t="shared" si="2"/>
        <v>#REF!</v>
      </c>
      <c r="L11" s="16" t="e">
        <f t="shared" si="2"/>
        <v>#REF!</v>
      </c>
      <c r="M11" s="16" t="e">
        <f t="shared" si="2"/>
        <v>#REF!</v>
      </c>
      <c r="N11" s="16" t="e">
        <f t="shared" si="2"/>
        <v>#REF!</v>
      </c>
      <c r="O11" s="16" t="e">
        <f t="shared" si="2"/>
        <v>#REF!</v>
      </c>
      <c r="P11" s="16" t="e">
        <f t="shared" si="2"/>
        <v>#REF!</v>
      </c>
      <c r="Q11" s="16" t="e">
        <f t="shared" si="2"/>
        <v>#REF!</v>
      </c>
      <c r="R11" s="16">
        <f t="shared" si="2"/>
        <v>38127.240000000005</v>
      </c>
      <c r="S11" s="16">
        <f t="shared" si="1"/>
        <v>-5229.5</v>
      </c>
      <c r="T11" s="86"/>
    </row>
    <row r="12" spans="1:19" s="1" customFormat="1" ht="15">
      <c r="A12" s="56"/>
      <c r="B12" s="15" t="s">
        <v>63</v>
      </c>
      <c r="C12" s="17" t="s">
        <v>34</v>
      </c>
      <c r="D12" s="17" t="s">
        <v>25</v>
      </c>
      <c r="E12" s="17"/>
      <c r="F12" s="18"/>
      <c r="G12" s="17"/>
      <c r="H12" s="16">
        <f aca="true" t="shared" si="3" ref="H12:R12">H13+H22+H26</f>
        <v>19343.3</v>
      </c>
      <c r="I12" s="16" t="e">
        <f t="shared" si="3"/>
        <v>#REF!</v>
      </c>
      <c r="J12" s="16" t="e">
        <f t="shared" si="3"/>
        <v>#REF!</v>
      </c>
      <c r="K12" s="16" t="e">
        <f t="shared" si="3"/>
        <v>#REF!</v>
      </c>
      <c r="L12" s="16" t="e">
        <f t="shared" si="3"/>
        <v>#REF!</v>
      </c>
      <c r="M12" s="16" t="e">
        <f t="shared" si="3"/>
        <v>#REF!</v>
      </c>
      <c r="N12" s="16" t="e">
        <f t="shared" si="3"/>
        <v>#REF!</v>
      </c>
      <c r="O12" s="16" t="e">
        <f t="shared" si="3"/>
        <v>#REF!</v>
      </c>
      <c r="P12" s="16" t="e">
        <f t="shared" si="3"/>
        <v>#REF!</v>
      </c>
      <c r="Q12" s="16" t="e">
        <f t="shared" si="3"/>
        <v>#REF!</v>
      </c>
      <c r="R12" s="16">
        <f t="shared" si="3"/>
        <v>18640.9</v>
      </c>
      <c r="S12" s="16">
        <f t="shared" si="1"/>
        <v>-702.3999999999978</v>
      </c>
    </row>
    <row r="13" spans="1:19" s="2" customFormat="1" ht="47.25" customHeight="1">
      <c r="A13" s="57"/>
      <c r="B13" s="19" t="s">
        <v>40</v>
      </c>
      <c r="C13" s="20" t="s">
        <v>34</v>
      </c>
      <c r="D13" s="20" t="s">
        <v>25</v>
      </c>
      <c r="E13" s="20" t="s">
        <v>26</v>
      </c>
      <c r="F13" s="21"/>
      <c r="G13" s="20"/>
      <c r="H13" s="22">
        <f>H14+H17</f>
        <v>10842.9</v>
      </c>
      <c r="I13" s="22" t="e">
        <f aca="true" t="shared" si="4" ref="I13:R13">I14+I17</f>
        <v>#REF!</v>
      </c>
      <c r="J13" s="22" t="e">
        <f t="shared" si="4"/>
        <v>#REF!</v>
      </c>
      <c r="K13" s="22" t="e">
        <f t="shared" si="4"/>
        <v>#REF!</v>
      </c>
      <c r="L13" s="22" t="e">
        <f t="shared" si="4"/>
        <v>#REF!</v>
      </c>
      <c r="M13" s="22" t="e">
        <f t="shared" si="4"/>
        <v>#REF!</v>
      </c>
      <c r="N13" s="22" t="e">
        <f t="shared" si="4"/>
        <v>#REF!</v>
      </c>
      <c r="O13" s="22" t="e">
        <f t="shared" si="4"/>
        <v>#REF!</v>
      </c>
      <c r="P13" s="22" t="e">
        <f t="shared" si="4"/>
        <v>#REF!</v>
      </c>
      <c r="Q13" s="22" t="e">
        <f t="shared" si="4"/>
        <v>#REF!</v>
      </c>
      <c r="R13" s="22">
        <f t="shared" si="4"/>
        <v>10335.8</v>
      </c>
      <c r="S13" s="16">
        <f t="shared" si="1"/>
        <v>-507.10000000000036</v>
      </c>
    </row>
    <row r="14" spans="1:19" s="1" customFormat="1" ht="33" customHeight="1">
      <c r="A14" s="56"/>
      <c r="B14" s="11" t="s">
        <v>85</v>
      </c>
      <c r="C14" s="23" t="s">
        <v>34</v>
      </c>
      <c r="D14" s="23" t="s">
        <v>25</v>
      </c>
      <c r="E14" s="23" t="s">
        <v>26</v>
      </c>
      <c r="F14" s="24" t="s">
        <v>79</v>
      </c>
      <c r="G14" s="23"/>
      <c r="H14" s="25">
        <f>H15</f>
        <v>697.3000000000001</v>
      </c>
      <c r="I14" s="25">
        <f aca="true" t="shared" si="5" ref="I14:R15">I15</f>
        <v>0</v>
      </c>
      <c r="J14" s="25">
        <f t="shared" si="5"/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5">
        <f t="shared" si="5"/>
        <v>0</v>
      </c>
      <c r="Q14" s="25">
        <f t="shared" si="5"/>
        <v>0</v>
      </c>
      <c r="R14" s="25">
        <f t="shared" si="5"/>
        <v>693.9</v>
      </c>
      <c r="S14" s="16">
        <f t="shared" si="1"/>
        <v>-3.400000000000091</v>
      </c>
    </row>
    <row r="15" spans="1:19" s="1" customFormat="1" ht="18.75" customHeight="1">
      <c r="A15" s="56"/>
      <c r="B15" s="11" t="s">
        <v>78</v>
      </c>
      <c r="C15" s="23" t="s">
        <v>80</v>
      </c>
      <c r="D15" s="23" t="s">
        <v>25</v>
      </c>
      <c r="E15" s="23" t="s">
        <v>26</v>
      </c>
      <c r="F15" s="24" t="s">
        <v>81</v>
      </c>
      <c r="G15" s="23"/>
      <c r="H15" s="25">
        <f>H16</f>
        <v>697.3000000000001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f t="shared" si="5"/>
        <v>0</v>
      </c>
      <c r="M15" s="25">
        <f t="shared" si="5"/>
        <v>0</v>
      </c>
      <c r="N15" s="25">
        <f t="shared" si="5"/>
        <v>0</v>
      </c>
      <c r="O15" s="25">
        <f t="shared" si="5"/>
        <v>0</v>
      </c>
      <c r="P15" s="25">
        <f t="shared" si="5"/>
        <v>0</v>
      </c>
      <c r="Q15" s="25">
        <f t="shared" si="5"/>
        <v>0</v>
      </c>
      <c r="R15" s="25">
        <f t="shared" si="5"/>
        <v>693.9</v>
      </c>
      <c r="S15" s="16">
        <f t="shared" si="1"/>
        <v>-3.400000000000091</v>
      </c>
    </row>
    <row r="16" spans="1:19" s="1" customFormat="1" ht="90.75" customHeight="1">
      <c r="A16" s="56"/>
      <c r="B16" s="11" t="s">
        <v>89</v>
      </c>
      <c r="C16" s="23" t="s">
        <v>34</v>
      </c>
      <c r="D16" s="23" t="s">
        <v>25</v>
      </c>
      <c r="E16" s="23" t="s">
        <v>26</v>
      </c>
      <c r="F16" s="24" t="s">
        <v>72</v>
      </c>
      <c r="G16" s="23" t="s">
        <v>59</v>
      </c>
      <c r="H16" s="25">
        <f>643.7+53.6</f>
        <v>697.3000000000001</v>
      </c>
      <c r="I16" s="43"/>
      <c r="J16" s="44"/>
      <c r="K16" s="44"/>
      <c r="L16" s="44"/>
      <c r="M16" s="44"/>
      <c r="N16" s="44"/>
      <c r="O16" s="44"/>
      <c r="P16" s="44"/>
      <c r="Q16" s="44"/>
      <c r="R16" s="13">
        <v>693.9</v>
      </c>
      <c r="S16" s="16">
        <f t="shared" si="1"/>
        <v>-3.400000000000091</v>
      </c>
    </row>
    <row r="17" spans="1:19" s="1" customFormat="1" ht="27.75" customHeight="1">
      <c r="A17" s="56"/>
      <c r="B17" s="11" t="s">
        <v>86</v>
      </c>
      <c r="C17" s="23" t="s">
        <v>34</v>
      </c>
      <c r="D17" s="23" t="s">
        <v>25</v>
      </c>
      <c r="E17" s="23" t="s">
        <v>26</v>
      </c>
      <c r="F17" s="24" t="s">
        <v>82</v>
      </c>
      <c r="G17" s="23"/>
      <c r="H17" s="25">
        <f>H18</f>
        <v>10145.6</v>
      </c>
      <c r="I17" s="25" t="e">
        <f aca="true" t="shared" si="6" ref="I17:R17">I18</f>
        <v>#REF!</v>
      </c>
      <c r="J17" s="25" t="e">
        <f t="shared" si="6"/>
        <v>#REF!</v>
      </c>
      <c r="K17" s="25" t="e">
        <f t="shared" si="6"/>
        <v>#REF!</v>
      </c>
      <c r="L17" s="25" t="e">
        <f t="shared" si="6"/>
        <v>#REF!</v>
      </c>
      <c r="M17" s="25" t="e">
        <f t="shared" si="6"/>
        <v>#REF!</v>
      </c>
      <c r="N17" s="25" t="e">
        <f t="shared" si="6"/>
        <v>#REF!</v>
      </c>
      <c r="O17" s="25" t="e">
        <f t="shared" si="6"/>
        <v>#REF!</v>
      </c>
      <c r="P17" s="25" t="e">
        <f t="shared" si="6"/>
        <v>#REF!</v>
      </c>
      <c r="Q17" s="25" t="e">
        <f t="shared" si="6"/>
        <v>#REF!</v>
      </c>
      <c r="R17" s="25">
        <f t="shared" si="6"/>
        <v>9641.9</v>
      </c>
      <c r="S17" s="16">
        <f t="shared" si="1"/>
        <v>-503.7000000000007</v>
      </c>
    </row>
    <row r="18" spans="1:19" s="1" customFormat="1" ht="17.25" customHeight="1">
      <c r="A18" s="56"/>
      <c r="B18" s="11" t="s">
        <v>78</v>
      </c>
      <c r="C18" s="23" t="s">
        <v>80</v>
      </c>
      <c r="D18" s="23" t="s">
        <v>25</v>
      </c>
      <c r="E18" s="23" t="s">
        <v>26</v>
      </c>
      <c r="F18" s="24" t="s">
        <v>83</v>
      </c>
      <c r="G18" s="23"/>
      <c r="H18" s="25">
        <f aca="true" t="shared" si="7" ref="H18:R18">H19+H20+H21</f>
        <v>10145.6</v>
      </c>
      <c r="I18" s="25" t="e">
        <f t="shared" si="7"/>
        <v>#REF!</v>
      </c>
      <c r="J18" s="25" t="e">
        <f t="shared" si="7"/>
        <v>#REF!</v>
      </c>
      <c r="K18" s="25" t="e">
        <f t="shared" si="7"/>
        <v>#REF!</v>
      </c>
      <c r="L18" s="25" t="e">
        <f t="shared" si="7"/>
        <v>#REF!</v>
      </c>
      <c r="M18" s="25" t="e">
        <f t="shared" si="7"/>
        <v>#REF!</v>
      </c>
      <c r="N18" s="25" t="e">
        <f t="shared" si="7"/>
        <v>#REF!</v>
      </c>
      <c r="O18" s="25" t="e">
        <f t="shared" si="7"/>
        <v>#REF!</v>
      </c>
      <c r="P18" s="25" t="e">
        <f t="shared" si="7"/>
        <v>#REF!</v>
      </c>
      <c r="Q18" s="25" t="e">
        <f t="shared" si="7"/>
        <v>#REF!</v>
      </c>
      <c r="R18" s="25">
        <f t="shared" si="7"/>
        <v>9641.9</v>
      </c>
      <c r="S18" s="16">
        <f t="shared" si="1"/>
        <v>-503.7000000000007</v>
      </c>
    </row>
    <row r="19" spans="1:19" s="1" customFormat="1" ht="93.75" customHeight="1">
      <c r="A19" s="56"/>
      <c r="B19" s="11" t="s">
        <v>93</v>
      </c>
      <c r="C19" s="23" t="s">
        <v>34</v>
      </c>
      <c r="D19" s="23" t="s">
        <v>25</v>
      </c>
      <c r="E19" s="23" t="s">
        <v>26</v>
      </c>
      <c r="F19" s="24" t="s">
        <v>73</v>
      </c>
      <c r="G19" s="23" t="s">
        <v>59</v>
      </c>
      <c r="H19" s="25">
        <f>4848.2+27.7+0.1-156.1</f>
        <v>4719.9</v>
      </c>
      <c r="I19" s="43" t="e">
        <f>I20+#REF!</f>
        <v>#REF!</v>
      </c>
      <c r="J19" s="44" t="e">
        <f>J20+#REF!</f>
        <v>#REF!</v>
      </c>
      <c r="K19" s="44" t="e">
        <f>K20+#REF!</f>
        <v>#REF!</v>
      </c>
      <c r="L19" s="44" t="e">
        <f>L20+#REF!</f>
        <v>#REF!</v>
      </c>
      <c r="M19" s="44" t="e">
        <f>M20+#REF!</f>
        <v>#REF!</v>
      </c>
      <c r="N19" s="44" t="e">
        <f>N20+#REF!</f>
        <v>#REF!</v>
      </c>
      <c r="O19" s="44" t="e">
        <f>O20+#REF!</f>
        <v>#REF!</v>
      </c>
      <c r="P19" s="44" t="e">
        <f>P20+#REF!</f>
        <v>#REF!</v>
      </c>
      <c r="Q19" s="44" t="e">
        <f>Q20+#REF!</f>
        <v>#REF!</v>
      </c>
      <c r="R19" s="13">
        <v>4691</v>
      </c>
      <c r="S19" s="16">
        <f t="shared" si="1"/>
        <v>-28.899999999999636</v>
      </c>
    </row>
    <row r="20" spans="1:20" s="1" customFormat="1" ht="57.75" customHeight="1">
      <c r="A20" s="56"/>
      <c r="B20" s="11" t="s">
        <v>94</v>
      </c>
      <c r="C20" s="23" t="s">
        <v>34</v>
      </c>
      <c r="D20" s="23" t="s">
        <v>25</v>
      </c>
      <c r="E20" s="23" t="s">
        <v>26</v>
      </c>
      <c r="F20" s="24" t="s">
        <v>73</v>
      </c>
      <c r="G20" s="23" t="s">
        <v>58</v>
      </c>
      <c r="H20" s="25">
        <f>2839.9+1572.2+408.7+1194.7-551.7-40-27.7-16-355.6-10-99.9-90-270-160-25.4+240+100+100+250-232+66.6-0.8-58.9+336.7</f>
        <v>5170.800000000001</v>
      </c>
      <c r="I20" s="26" t="e">
        <f>#REF!+#REF!</f>
        <v>#REF!</v>
      </c>
      <c r="J20" s="27" t="e">
        <f>#REF!+#REF!</f>
        <v>#REF!</v>
      </c>
      <c r="K20" s="27" t="e">
        <f>#REF!+#REF!</f>
        <v>#REF!</v>
      </c>
      <c r="L20" s="27" t="e">
        <f>#REF!+#REF!</f>
        <v>#REF!</v>
      </c>
      <c r="M20" s="27" t="e">
        <f>#REF!+#REF!</f>
        <v>#REF!</v>
      </c>
      <c r="N20" s="27" t="e">
        <f>#REF!+#REF!</f>
        <v>#REF!</v>
      </c>
      <c r="O20" s="27" t="e">
        <f>#REF!+#REF!</f>
        <v>#REF!</v>
      </c>
      <c r="P20" s="27" t="e">
        <f>#REF!+#REF!</f>
        <v>#REF!</v>
      </c>
      <c r="Q20" s="27" t="e">
        <f>#REF!+#REF!</f>
        <v>#REF!</v>
      </c>
      <c r="R20" s="13">
        <v>4723.9</v>
      </c>
      <c r="S20" s="16">
        <f t="shared" si="1"/>
        <v>-446.90000000000146</v>
      </c>
      <c r="T20" s="87"/>
    </row>
    <row r="21" spans="1:19" s="1" customFormat="1" ht="45" customHeight="1">
      <c r="A21" s="56"/>
      <c r="B21" s="11" t="s">
        <v>271</v>
      </c>
      <c r="C21" s="23" t="s">
        <v>34</v>
      </c>
      <c r="D21" s="23" t="s">
        <v>25</v>
      </c>
      <c r="E21" s="23" t="s">
        <v>26</v>
      </c>
      <c r="F21" s="24" t="s">
        <v>73</v>
      </c>
      <c r="G21" s="23" t="s">
        <v>54</v>
      </c>
      <c r="H21" s="25">
        <v>254.9</v>
      </c>
      <c r="I21" s="62"/>
      <c r="J21" s="62"/>
      <c r="K21" s="62"/>
      <c r="L21" s="62"/>
      <c r="M21" s="62"/>
      <c r="N21" s="62"/>
      <c r="O21" s="62"/>
      <c r="P21" s="62"/>
      <c r="Q21" s="62"/>
      <c r="R21" s="13">
        <v>227</v>
      </c>
      <c r="S21" s="16">
        <f t="shared" si="1"/>
        <v>-27.900000000000006</v>
      </c>
    </row>
    <row r="22" spans="1:19" s="2" customFormat="1" ht="14.25" customHeight="1">
      <c r="A22" s="57"/>
      <c r="B22" s="19" t="s">
        <v>65</v>
      </c>
      <c r="C22" s="20" t="s">
        <v>34</v>
      </c>
      <c r="D22" s="20" t="s">
        <v>25</v>
      </c>
      <c r="E22" s="20" t="s">
        <v>43</v>
      </c>
      <c r="F22" s="21"/>
      <c r="G22" s="20"/>
      <c r="H22" s="22">
        <f>H25</f>
        <v>13.099999999999994</v>
      </c>
      <c r="I22" s="22" t="e">
        <f aca="true" t="shared" si="8" ref="I22:R22">I25</f>
        <v>#REF!</v>
      </c>
      <c r="J22" s="22" t="e">
        <f t="shared" si="8"/>
        <v>#REF!</v>
      </c>
      <c r="K22" s="22" t="e">
        <f t="shared" si="8"/>
        <v>#REF!</v>
      </c>
      <c r="L22" s="22" t="e">
        <f t="shared" si="8"/>
        <v>#REF!</v>
      </c>
      <c r="M22" s="22" t="e">
        <f t="shared" si="8"/>
        <v>#REF!</v>
      </c>
      <c r="N22" s="22" t="e">
        <f t="shared" si="8"/>
        <v>#REF!</v>
      </c>
      <c r="O22" s="22" t="e">
        <f t="shared" si="8"/>
        <v>#REF!</v>
      </c>
      <c r="P22" s="22" t="e">
        <f t="shared" si="8"/>
        <v>#REF!</v>
      </c>
      <c r="Q22" s="22" t="e">
        <f t="shared" si="8"/>
        <v>#REF!</v>
      </c>
      <c r="R22" s="22">
        <f t="shared" si="8"/>
        <v>0</v>
      </c>
      <c r="S22" s="16">
        <f t="shared" si="1"/>
        <v>-13.099999999999994</v>
      </c>
    </row>
    <row r="23" spans="1:19" s="12" customFormat="1" ht="26.25" customHeight="1">
      <c r="A23" s="56"/>
      <c r="B23" s="11" t="s">
        <v>90</v>
      </c>
      <c r="C23" s="23" t="s">
        <v>34</v>
      </c>
      <c r="D23" s="23" t="s">
        <v>25</v>
      </c>
      <c r="E23" s="23" t="s">
        <v>43</v>
      </c>
      <c r="F23" s="24" t="s">
        <v>87</v>
      </c>
      <c r="G23" s="23"/>
      <c r="H23" s="25">
        <f>H24</f>
        <v>13.099999999999994</v>
      </c>
      <c r="I23" s="25" t="e">
        <f aca="true" t="shared" si="9" ref="I23:R24">I24</f>
        <v>#REF!</v>
      </c>
      <c r="J23" s="25" t="e">
        <f t="shared" si="9"/>
        <v>#REF!</v>
      </c>
      <c r="K23" s="25" t="e">
        <f t="shared" si="9"/>
        <v>#REF!</v>
      </c>
      <c r="L23" s="25" t="e">
        <f t="shared" si="9"/>
        <v>#REF!</v>
      </c>
      <c r="M23" s="25" t="e">
        <f t="shared" si="9"/>
        <v>#REF!</v>
      </c>
      <c r="N23" s="25" t="e">
        <f t="shared" si="9"/>
        <v>#REF!</v>
      </c>
      <c r="O23" s="25" t="e">
        <f t="shared" si="9"/>
        <v>#REF!</v>
      </c>
      <c r="P23" s="25" t="e">
        <f t="shared" si="9"/>
        <v>#REF!</v>
      </c>
      <c r="Q23" s="25" t="e">
        <f t="shared" si="9"/>
        <v>#REF!</v>
      </c>
      <c r="R23" s="25">
        <f t="shared" si="9"/>
        <v>0</v>
      </c>
      <c r="S23" s="16">
        <f t="shared" si="1"/>
        <v>-13.099999999999994</v>
      </c>
    </row>
    <row r="24" spans="1:19" s="12" customFormat="1" ht="18.75" customHeight="1">
      <c r="A24" s="56"/>
      <c r="B24" s="11" t="s">
        <v>78</v>
      </c>
      <c r="C24" s="23" t="s">
        <v>34</v>
      </c>
      <c r="D24" s="23" t="s">
        <v>25</v>
      </c>
      <c r="E24" s="23" t="s">
        <v>43</v>
      </c>
      <c r="F24" s="24" t="s">
        <v>92</v>
      </c>
      <c r="G24" s="23"/>
      <c r="H24" s="25">
        <f>H25</f>
        <v>13.099999999999994</v>
      </c>
      <c r="I24" s="25" t="e">
        <f t="shared" si="9"/>
        <v>#REF!</v>
      </c>
      <c r="J24" s="25" t="e">
        <f t="shared" si="9"/>
        <v>#REF!</v>
      </c>
      <c r="K24" s="25" t="e">
        <f t="shared" si="9"/>
        <v>#REF!</v>
      </c>
      <c r="L24" s="25" t="e">
        <f t="shared" si="9"/>
        <v>#REF!</v>
      </c>
      <c r="M24" s="25" t="e">
        <f t="shared" si="9"/>
        <v>#REF!</v>
      </c>
      <c r="N24" s="25" t="e">
        <f t="shared" si="9"/>
        <v>#REF!</v>
      </c>
      <c r="O24" s="25" t="e">
        <f t="shared" si="9"/>
        <v>#REF!</v>
      </c>
      <c r="P24" s="25" t="e">
        <f t="shared" si="9"/>
        <v>#REF!</v>
      </c>
      <c r="Q24" s="25" t="e">
        <f t="shared" si="9"/>
        <v>#REF!</v>
      </c>
      <c r="R24" s="25">
        <f t="shared" si="9"/>
        <v>0</v>
      </c>
      <c r="S24" s="16">
        <f t="shared" si="1"/>
        <v>-13.099999999999994</v>
      </c>
    </row>
    <row r="25" spans="1:19" s="1" customFormat="1" ht="30.75" customHeight="1">
      <c r="A25" s="56"/>
      <c r="B25" s="11" t="s">
        <v>91</v>
      </c>
      <c r="C25" s="23" t="s">
        <v>34</v>
      </c>
      <c r="D25" s="23" t="s">
        <v>25</v>
      </c>
      <c r="E25" s="23" t="s">
        <v>43</v>
      </c>
      <c r="F25" s="24" t="s">
        <v>88</v>
      </c>
      <c r="G25" s="23" t="s">
        <v>54</v>
      </c>
      <c r="H25" s="25">
        <f>100-20-66.9</f>
        <v>13.099999999999994</v>
      </c>
      <c r="I25" s="26" t="e">
        <f>#REF!</f>
        <v>#REF!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27" t="e">
        <f>#REF!</f>
        <v>#REF!</v>
      </c>
      <c r="N25" s="27" t="e">
        <f>#REF!</f>
        <v>#REF!</v>
      </c>
      <c r="O25" s="27" t="e">
        <f>#REF!</f>
        <v>#REF!</v>
      </c>
      <c r="P25" s="27" t="e">
        <f>#REF!</f>
        <v>#REF!</v>
      </c>
      <c r="Q25" s="27" t="e">
        <f>#REF!</f>
        <v>#REF!</v>
      </c>
      <c r="R25" s="13"/>
      <c r="S25" s="16">
        <f t="shared" si="1"/>
        <v>-13.099999999999994</v>
      </c>
    </row>
    <row r="26" spans="1:19" s="2" customFormat="1" ht="16.5" customHeight="1">
      <c r="A26" s="57"/>
      <c r="B26" s="19" t="s">
        <v>13</v>
      </c>
      <c r="C26" s="20" t="s">
        <v>34</v>
      </c>
      <c r="D26" s="20" t="s">
        <v>25</v>
      </c>
      <c r="E26" s="20" t="s">
        <v>52</v>
      </c>
      <c r="F26" s="29"/>
      <c r="G26" s="30"/>
      <c r="H26" s="22">
        <f>H27+H43+H46+H49+H52+H57+H60+H40+H69</f>
        <v>8487.3</v>
      </c>
      <c r="I26" s="22" t="e">
        <f aca="true" t="shared" si="10" ref="I26:R26">I27+I43+I46+I49+I52+I57+I60+I40+I69</f>
        <v>#REF!</v>
      </c>
      <c r="J26" s="22" t="e">
        <f t="shared" si="10"/>
        <v>#REF!</v>
      </c>
      <c r="K26" s="22" t="e">
        <f t="shared" si="10"/>
        <v>#REF!</v>
      </c>
      <c r="L26" s="22" t="e">
        <f t="shared" si="10"/>
        <v>#REF!</v>
      </c>
      <c r="M26" s="22" t="e">
        <f t="shared" si="10"/>
        <v>#REF!</v>
      </c>
      <c r="N26" s="22" t="e">
        <f t="shared" si="10"/>
        <v>#REF!</v>
      </c>
      <c r="O26" s="22" t="e">
        <f t="shared" si="10"/>
        <v>#REF!</v>
      </c>
      <c r="P26" s="22" t="e">
        <f t="shared" si="10"/>
        <v>#REF!</v>
      </c>
      <c r="Q26" s="22" t="e">
        <f t="shared" si="10"/>
        <v>#REF!</v>
      </c>
      <c r="R26" s="22">
        <f t="shared" si="10"/>
        <v>8305.1</v>
      </c>
      <c r="S26" s="16">
        <f t="shared" si="1"/>
        <v>-182.1999999999989</v>
      </c>
    </row>
    <row r="27" spans="1:19" s="2" customFormat="1" ht="33" customHeight="1">
      <c r="A27" s="57"/>
      <c r="B27" s="11" t="s">
        <v>332</v>
      </c>
      <c r="C27" s="23" t="s">
        <v>34</v>
      </c>
      <c r="D27" s="23" t="s">
        <v>25</v>
      </c>
      <c r="E27" s="23" t="s">
        <v>52</v>
      </c>
      <c r="F27" s="24" t="s">
        <v>30</v>
      </c>
      <c r="G27" s="23"/>
      <c r="H27" s="25">
        <f>H28+H34+H39+H31</f>
        <v>0</v>
      </c>
      <c r="I27" s="25">
        <f aca="true" t="shared" si="11" ref="I27:R27">I28+I34+I39+I31</f>
        <v>0</v>
      </c>
      <c r="J27" s="25">
        <f t="shared" si="11"/>
        <v>0</v>
      </c>
      <c r="K27" s="25">
        <f t="shared" si="11"/>
        <v>0</v>
      </c>
      <c r="L27" s="25">
        <f t="shared" si="11"/>
        <v>0</v>
      </c>
      <c r="M27" s="25">
        <f t="shared" si="11"/>
        <v>0</v>
      </c>
      <c r="N27" s="25">
        <f t="shared" si="11"/>
        <v>0</v>
      </c>
      <c r="O27" s="25">
        <f t="shared" si="11"/>
        <v>0</v>
      </c>
      <c r="P27" s="25">
        <f t="shared" si="11"/>
        <v>0</v>
      </c>
      <c r="Q27" s="25">
        <f t="shared" si="11"/>
        <v>0</v>
      </c>
      <c r="R27" s="25">
        <f t="shared" si="11"/>
        <v>0</v>
      </c>
      <c r="S27" s="16">
        <f t="shared" si="1"/>
        <v>0</v>
      </c>
    </row>
    <row r="28" spans="1:19" s="2" customFormat="1" ht="48.75" customHeight="1">
      <c r="A28" s="57"/>
      <c r="B28" s="11" t="s">
        <v>100</v>
      </c>
      <c r="C28" s="23" t="s">
        <v>34</v>
      </c>
      <c r="D28" s="23" t="s">
        <v>25</v>
      </c>
      <c r="E28" s="23" t="s">
        <v>52</v>
      </c>
      <c r="F28" s="24" t="s">
        <v>99</v>
      </c>
      <c r="G28" s="23"/>
      <c r="H28" s="25">
        <f>H29</f>
        <v>0</v>
      </c>
      <c r="I28" s="25">
        <f aca="true" t="shared" si="12" ref="I28:R29">I29</f>
        <v>0</v>
      </c>
      <c r="J28" s="25">
        <f t="shared" si="12"/>
        <v>0</v>
      </c>
      <c r="K28" s="25">
        <f t="shared" si="12"/>
        <v>0</v>
      </c>
      <c r="L28" s="25">
        <f t="shared" si="12"/>
        <v>0</v>
      </c>
      <c r="M28" s="25">
        <f t="shared" si="12"/>
        <v>0</v>
      </c>
      <c r="N28" s="25">
        <f t="shared" si="12"/>
        <v>0</v>
      </c>
      <c r="O28" s="25">
        <f t="shared" si="12"/>
        <v>0</v>
      </c>
      <c r="P28" s="25">
        <f t="shared" si="12"/>
        <v>0</v>
      </c>
      <c r="Q28" s="25">
        <f t="shared" si="12"/>
        <v>0</v>
      </c>
      <c r="R28" s="25">
        <f t="shared" si="12"/>
        <v>0</v>
      </c>
      <c r="S28" s="16">
        <f t="shared" si="1"/>
        <v>0</v>
      </c>
    </row>
    <row r="29" spans="1:19" s="2" customFormat="1" ht="48.75" customHeight="1">
      <c r="A29" s="57"/>
      <c r="B29" s="11" t="s">
        <v>207</v>
      </c>
      <c r="C29" s="23" t="s">
        <v>34</v>
      </c>
      <c r="D29" s="23" t="s">
        <v>25</v>
      </c>
      <c r="E29" s="23" t="s">
        <v>52</v>
      </c>
      <c r="F29" s="24" t="s">
        <v>209</v>
      </c>
      <c r="G29" s="23"/>
      <c r="H29" s="25">
        <f>H30</f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si="12"/>
        <v>0</v>
      </c>
      <c r="M29" s="25">
        <f t="shared" si="12"/>
        <v>0</v>
      </c>
      <c r="N29" s="25">
        <f t="shared" si="12"/>
        <v>0</v>
      </c>
      <c r="O29" s="25">
        <f t="shared" si="12"/>
        <v>0</v>
      </c>
      <c r="P29" s="25">
        <f t="shared" si="12"/>
        <v>0</v>
      </c>
      <c r="Q29" s="25">
        <f t="shared" si="12"/>
        <v>0</v>
      </c>
      <c r="R29" s="25">
        <f t="shared" si="12"/>
        <v>0</v>
      </c>
      <c r="S29" s="16">
        <f t="shared" si="1"/>
        <v>0</v>
      </c>
    </row>
    <row r="30" spans="1:19" s="2" customFormat="1" ht="48" customHeight="1">
      <c r="A30" s="57"/>
      <c r="B30" s="11" t="s">
        <v>320</v>
      </c>
      <c r="C30" s="23" t="s">
        <v>34</v>
      </c>
      <c r="D30" s="23" t="s">
        <v>25</v>
      </c>
      <c r="E30" s="23" t="s">
        <v>52</v>
      </c>
      <c r="F30" s="24" t="s">
        <v>101</v>
      </c>
      <c r="G30" s="23" t="s">
        <v>58</v>
      </c>
      <c r="H30" s="25">
        <f>320.5-320.5</f>
        <v>0</v>
      </c>
      <c r="I30" s="63"/>
      <c r="J30" s="64"/>
      <c r="K30" s="64"/>
      <c r="L30" s="64"/>
      <c r="M30" s="64"/>
      <c r="N30" s="64"/>
      <c r="O30" s="64"/>
      <c r="P30" s="64"/>
      <c r="Q30" s="64"/>
      <c r="R30" s="65"/>
      <c r="S30" s="16">
        <f t="shared" si="1"/>
        <v>0</v>
      </c>
    </row>
    <row r="31" spans="1:19" s="2" customFormat="1" ht="48" customHeight="1">
      <c r="A31" s="57"/>
      <c r="B31" s="11" t="s">
        <v>420</v>
      </c>
      <c r="C31" s="23" t="s">
        <v>34</v>
      </c>
      <c r="D31" s="23" t="s">
        <v>25</v>
      </c>
      <c r="E31" s="23" t="s">
        <v>52</v>
      </c>
      <c r="F31" s="24" t="s">
        <v>419</v>
      </c>
      <c r="G31" s="23"/>
      <c r="H31" s="25">
        <f>H32</f>
        <v>0</v>
      </c>
      <c r="I31" s="25">
        <f aca="true" t="shared" si="13" ref="I31:R32">I32</f>
        <v>0</v>
      </c>
      <c r="J31" s="25">
        <f t="shared" si="13"/>
        <v>0</v>
      </c>
      <c r="K31" s="25">
        <f t="shared" si="13"/>
        <v>0</v>
      </c>
      <c r="L31" s="25">
        <f t="shared" si="13"/>
        <v>0</v>
      </c>
      <c r="M31" s="25">
        <f t="shared" si="13"/>
        <v>0</v>
      </c>
      <c r="N31" s="25">
        <f t="shared" si="13"/>
        <v>0</v>
      </c>
      <c r="O31" s="25">
        <f t="shared" si="13"/>
        <v>0</v>
      </c>
      <c r="P31" s="25">
        <f t="shared" si="13"/>
        <v>0</v>
      </c>
      <c r="Q31" s="25">
        <f t="shared" si="13"/>
        <v>0</v>
      </c>
      <c r="R31" s="25">
        <f t="shared" si="13"/>
        <v>0</v>
      </c>
      <c r="S31" s="16">
        <f t="shared" si="1"/>
        <v>0</v>
      </c>
    </row>
    <row r="32" spans="1:19" s="2" customFormat="1" ht="54" customHeight="1">
      <c r="A32" s="57"/>
      <c r="B32" s="11" t="s">
        <v>422</v>
      </c>
      <c r="C32" s="23" t="s">
        <v>34</v>
      </c>
      <c r="D32" s="23" t="s">
        <v>25</v>
      </c>
      <c r="E32" s="23" t="s">
        <v>52</v>
      </c>
      <c r="F32" s="24" t="s">
        <v>421</v>
      </c>
      <c r="G32" s="23"/>
      <c r="H32" s="25">
        <f>H33</f>
        <v>0</v>
      </c>
      <c r="I32" s="25">
        <f t="shared" si="13"/>
        <v>0</v>
      </c>
      <c r="J32" s="25">
        <f t="shared" si="13"/>
        <v>0</v>
      </c>
      <c r="K32" s="25">
        <f t="shared" si="13"/>
        <v>0</v>
      </c>
      <c r="L32" s="25">
        <f t="shared" si="13"/>
        <v>0</v>
      </c>
      <c r="M32" s="25">
        <f t="shared" si="13"/>
        <v>0</v>
      </c>
      <c r="N32" s="25">
        <f t="shared" si="13"/>
        <v>0</v>
      </c>
      <c r="O32" s="25">
        <f t="shared" si="13"/>
        <v>0</v>
      </c>
      <c r="P32" s="25">
        <f t="shared" si="13"/>
        <v>0</v>
      </c>
      <c r="Q32" s="25">
        <f t="shared" si="13"/>
        <v>0</v>
      </c>
      <c r="R32" s="25">
        <f t="shared" si="13"/>
        <v>0</v>
      </c>
      <c r="S32" s="16">
        <f t="shared" si="1"/>
        <v>0</v>
      </c>
    </row>
    <row r="33" spans="1:19" s="2" customFormat="1" ht="39.75" customHeight="1">
      <c r="A33" s="57"/>
      <c r="B33" s="11" t="s">
        <v>409</v>
      </c>
      <c r="C33" s="23" t="s">
        <v>34</v>
      </c>
      <c r="D33" s="23" t="s">
        <v>25</v>
      </c>
      <c r="E33" s="23" t="s">
        <v>52</v>
      </c>
      <c r="F33" s="24" t="s">
        <v>418</v>
      </c>
      <c r="G33" s="23" t="s">
        <v>400</v>
      </c>
      <c r="H33" s="25">
        <f>162.3-162.3</f>
        <v>0</v>
      </c>
      <c r="I33" s="34"/>
      <c r="J33" s="35"/>
      <c r="K33" s="35"/>
      <c r="L33" s="35"/>
      <c r="M33" s="35"/>
      <c r="N33" s="35"/>
      <c r="O33" s="35"/>
      <c r="P33" s="35"/>
      <c r="Q33" s="35"/>
      <c r="R33" s="65"/>
      <c r="S33" s="16">
        <f t="shared" si="1"/>
        <v>0</v>
      </c>
    </row>
    <row r="34" spans="1:19" s="2" customFormat="1" ht="39.75" customHeight="1">
      <c r="A34" s="57"/>
      <c r="B34" s="11" t="s">
        <v>405</v>
      </c>
      <c r="C34" s="23" t="s">
        <v>34</v>
      </c>
      <c r="D34" s="23" t="s">
        <v>25</v>
      </c>
      <c r="E34" s="23" t="s">
        <v>52</v>
      </c>
      <c r="F34" s="24" t="s">
        <v>413</v>
      </c>
      <c r="G34" s="23"/>
      <c r="H34" s="25">
        <f>H35</f>
        <v>0</v>
      </c>
      <c r="I34" s="25">
        <f aca="true" t="shared" si="14" ref="I34:R35">I35</f>
        <v>0</v>
      </c>
      <c r="J34" s="25">
        <f t="shared" si="14"/>
        <v>0</v>
      </c>
      <c r="K34" s="25">
        <f t="shared" si="14"/>
        <v>0</v>
      </c>
      <c r="L34" s="25">
        <f t="shared" si="14"/>
        <v>0</v>
      </c>
      <c r="M34" s="25">
        <f t="shared" si="14"/>
        <v>0</v>
      </c>
      <c r="N34" s="25">
        <f t="shared" si="14"/>
        <v>0</v>
      </c>
      <c r="O34" s="25">
        <f t="shared" si="14"/>
        <v>0</v>
      </c>
      <c r="P34" s="25">
        <f t="shared" si="14"/>
        <v>0</v>
      </c>
      <c r="Q34" s="25">
        <f t="shared" si="14"/>
        <v>0</v>
      </c>
      <c r="R34" s="25">
        <f t="shared" si="14"/>
        <v>0</v>
      </c>
      <c r="S34" s="16">
        <f t="shared" si="1"/>
        <v>0</v>
      </c>
    </row>
    <row r="35" spans="1:19" s="2" customFormat="1" ht="60.75" customHeight="1">
      <c r="A35" s="57"/>
      <c r="B35" s="11" t="s">
        <v>408</v>
      </c>
      <c r="C35" s="23" t="s">
        <v>34</v>
      </c>
      <c r="D35" s="23" t="s">
        <v>25</v>
      </c>
      <c r="E35" s="23" t="s">
        <v>52</v>
      </c>
      <c r="F35" s="24" t="s">
        <v>414</v>
      </c>
      <c r="G35" s="23"/>
      <c r="H35" s="25">
        <f>H36</f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>
        <f t="shared" si="14"/>
        <v>0</v>
      </c>
      <c r="N35" s="25">
        <f t="shared" si="14"/>
        <v>0</v>
      </c>
      <c r="O35" s="25">
        <f t="shared" si="14"/>
        <v>0</v>
      </c>
      <c r="P35" s="25">
        <f t="shared" si="14"/>
        <v>0</v>
      </c>
      <c r="Q35" s="25">
        <f t="shared" si="14"/>
        <v>0</v>
      </c>
      <c r="R35" s="25">
        <f t="shared" si="14"/>
        <v>0</v>
      </c>
      <c r="S35" s="16">
        <f t="shared" si="1"/>
        <v>0</v>
      </c>
    </row>
    <row r="36" spans="1:19" s="2" customFormat="1" ht="36.75" customHeight="1">
      <c r="A36" s="57"/>
      <c r="B36" s="11" t="s">
        <v>409</v>
      </c>
      <c r="C36" s="23" t="s">
        <v>34</v>
      </c>
      <c r="D36" s="23" t="s">
        <v>25</v>
      </c>
      <c r="E36" s="23" t="s">
        <v>52</v>
      </c>
      <c r="F36" s="24" t="s">
        <v>415</v>
      </c>
      <c r="G36" s="23" t="s">
        <v>400</v>
      </c>
      <c r="H36" s="25">
        <f>59.2-59.2</f>
        <v>0</v>
      </c>
      <c r="I36" s="34"/>
      <c r="J36" s="35"/>
      <c r="K36" s="35"/>
      <c r="L36" s="35"/>
      <c r="M36" s="35"/>
      <c r="N36" s="35"/>
      <c r="O36" s="35"/>
      <c r="P36" s="35"/>
      <c r="Q36" s="35"/>
      <c r="R36" s="65"/>
      <c r="S36" s="16">
        <f t="shared" si="1"/>
        <v>0</v>
      </c>
    </row>
    <row r="37" spans="1:19" s="2" customFormat="1" ht="50.25" customHeight="1">
      <c r="A37" s="57"/>
      <c r="B37" s="11" t="s">
        <v>411</v>
      </c>
      <c r="C37" s="23" t="s">
        <v>34</v>
      </c>
      <c r="D37" s="23" t="s">
        <v>25</v>
      </c>
      <c r="E37" s="23" t="s">
        <v>52</v>
      </c>
      <c r="F37" s="24" t="s">
        <v>416</v>
      </c>
      <c r="G37" s="23"/>
      <c r="H37" s="25">
        <f>H38</f>
        <v>0</v>
      </c>
      <c r="I37" s="25">
        <f aca="true" t="shared" si="15" ref="I37:R38">I38</f>
        <v>0</v>
      </c>
      <c r="J37" s="25">
        <f t="shared" si="15"/>
        <v>0</v>
      </c>
      <c r="K37" s="25">
        <f t="shared" si="15"/>
        <v>0</v>
      </c>
      <c r="L37" s="25">
        <f t="shared" si="15"/>
        <v>0</v>
      </c>
      <c r="M37" s="25">
        <f t="shared" si="15"/>
        <v>0</v>
      </c>
      <c r="N37" s="25">
        <f t="shared" si="15"/>
        <v>0</v>
      </c>
      <c r="O37" s="25">
        <f t="shared" si="15"/>
        <v>0</v>
      </c>
      <c r="P37" s="25">
        <f t="shared" si="15"/>
        <v>0</v>
      </c>
      <c r="Q37" s="25">
        <f t="shared" si="15"/>
        <v>0</v>
      </c>
      <c r="R37" s="25">
        <f t="shared" si="15"/>
        <v>0</v>
      </c>
      <c r="S37" s="16">
        <f t="shared" si="1"/>
        <v>0</v>
      </c>
    </row>
    <row r="38" spans="1:19" s="2" customFormat="1" ht="75">
      <c r="A38" s="57"/>
      <c r="B38" s="11" t="s">
        <v>412</v>
      </c>
      <c r="C38" s="23" t="s">
        <v>34</v>
      </c>
      <c r="D38" s="23" t="s">
        <v>25</v>
      </c>
      <c r="E38" s="23" t="s">
        <v>52</v>
      </c>
      <c r="F38" s="24" t="s">
        <v>410</v>
      </c>
      <c r="G38" s="23"/>
      <c r="H38" s="25">
        <f>H39</f>
        <v>0</v>
      </c>
      <c r="I38" s="25">
        <f t="shared" si="15"/>
        <v>0</v>
      </c>
      <c r="J38" s="25">
        <f t="shared" si="15"/>
        <v>0</v>
      </c>
      <c r="K38" s="25">
        <f t="shared" si="15"/>
        <v>0</v>
      </c>
      <c r="L38" s="25">
        <f t="shared" si="15"/>
        <v>0</v>
      </c>
      <c r="M38" s="25">
        <f t="shared" si="15"/>
        <v>0</v>
      </c>
      <c r="N38" s="25">
        <f t="shared" si="15"/>
        <v>0</v>
      </c>
      <c r="O38" s="25">
        <f t="shared" si="15"/>
        <v>0</v>
      </c>
      <c r="P38" s="25">
        <f t="shared" si="15"/>
        <v>0</v>
      </c>
      <c r="Q38" s="25">
        <f t="shared" si="15"/>
        <v>0</v>
      </c>
      <c r="R38" s="25">
        <f t="shared" si="15"/>
        <v>0</v>
      </c>
      <c r="S38" s="16">
        <f t="shared" si="1"/>
        <v>0</v>
      </c>
    </row>
    <row r="39" spans="1:19" s="2" customFormat="1" ht="42" customHeight="1">
      <c r="A39" s="57"/>
      <c r="B39" s="11" t="s">
        <v>409</v>
      </c>
      <c r="C39" s="23" t="s">
        <v>34</v>
      </c>
      <c r="D39" s="23" t="s">
        <v>25</v>
      </c>
      <c r="E39" s="23" t="s">
        <v>52</v>
      </c>
      <c r="F39" s="24" t="s">
        <v>417</v>
      </c>
      <c r="G39" s="23" t="s">
        <v>400</v>
      </c>
      <c r="H39" s="25">
        <f>99-99</f>
        <v>0</v>
      </c>
      <c r="I39" s="34"/>
      <c r="J39" s="35"/>
      <c r="K39" s="35"/>
      <c r="L39" s="35"/>
      <c r="M39" s="35"/>
      <c r="N39" s="35"/>
      <c r="O39" s="35"/>
      <c r="P39" s="35"/>
      <c r="Q39" s="35"/>
      <c r="R39" s="65"/>
      <c r="S39" s="16">
        <f t="shared" si="1"/>
        <v>0</v>
      </c>
    </row>
    <row r="40" spans="1:19" s="2" customFormat="1" ht="34.5" customHeight="1">
      <c r="A40" s="57"/>
      <c r="B40" s="11" t="s">
        <v>155</v>
      </c>
      <c r="C40" s="23" t="s">
        <v>34</v>
      </c>
      <c r="D40" s="23" t="s">
        <v>25</v>
      </c>
      <c r="E40" s="23" t="s">
        <v>52</v>
      </c>
      <c r="F40" s="24" t="s">
        <v>32</v>
      </c>
      <c r="G40" s="23"/>
      <c r="H40" s="25">
        <f>H41</f>
        <v>686.3</v>
      </c>
      <c r="I40" s="25" t="e">
        <f aca="true" t="shared" si="16" ref="I40:R41">I41</f>
        <v>#REF!</v>
      </c>
      <c r="J40" s="25" t="e">
        <f t="shared" si="16"/>
        <v>#REF!</v>
      </c>
      <c r="K40" s="25" t="e">
        <f t="shared" si="16"/>
        <v>#REF!</v>
      </c>
      <c r="L40" s="25" t="e">
        <f t="shared" si="16"/>
        <v>#REF!</v>
      </c>
      <c r="M40" s="25" t="e">
        <f t="shared" si="16"/>
        <v>#REF!</v>
      </c>
      <c r="N40" s="25" t="e">
        <f t="shared" si="16"/>
        <v>#REF!</v>
      </c>
      <c r="O40" s="25" t="e">
        <f t="shared" si="16"/>
        <v>#REF!</v>
      </c>
      <c r="P40" s="25" t="e">
        <f t="shared" si="16"/>
        <v>#REF!</v>
      </c>
      <c r="Q40" s="25" t="e">
        <f t="shared" si="16"/>
        <v>#REF!</v>
      </c>
      <c r="R40" s="25">
        <f t="shared" si="16"/>
        <v>625.6</v>
      </c>
      <c r="S40" s="16">
        <f t="shared" si="1"/>
        <v>-60.69999999999993</v>
      </c>
    </row>
    <row r="41" spans="1:19" s="2" customFormat="1" ht="34.5" customHeight="1">
      <c r="A41" s="57"/>
      <c r="B41" s="11" t="s">
        <v>390</v>
      </c>
      <c r="C41" s="23" t="s">
        <v>34</v>
      </c>
      <c r="D41" s="23" t="s">
        <v>25</v>
      </c>
      <c r="E41" s="23" t="s">
        <v>52</v>
      </c>
      <c r="F41" s="24" t="s">
        <v>394</v>
      </c>
      <c r="G41" s="23"/>
      <c r="H41" s="25">
        <f>H42</f>
        <v>686.3</v>
      </c>
      <c r="I41" s="25" t="e">
        <f t="shared" si="16"/>
        <v>#REF!</v>
      </c>
      <c r="J41" s="25" t="e">
        <f t="shared" si="16"/>
        <v>#REF!</v>
      </c>
      <c r="K41" s="25" t="e">
        <f t="shared" si="16"/>
        <v>#REF!</v>
      </c>
      <c r="L41" s="25" t="e">
        <f t="shared" si="16"/>
        <v>#REF!</v>
      </c>
      <c r="M41" s="25" t="e">
        <f t="shared" si="16"/>
        <v>#REF!</v>
      </c>
      <c r="N41" s="25" t="e">
        <f t="shared" si="16"/>
        <v>#REF!</v>
      </c>
      <c r="O41" s="25" t="e">
        <f t="shared" si="16"/>
        <v>#REF!</v>
      </c>
      <c r="P41" s="25" t="e">
        <f t="shared" si="16"/>
        <v>#REF!</v>
      </c>
      <c r="Q41" s="25" t="e">
        <f t="shared" si="16"/>
        <v>#REF!</v>
      </c>
      <c r="R41" s="25">
        <f t="shared" si="16"/>
        <v>625.6</v>
      </c>
      <c r="S41" s="16">
        <f t="shared" si="1"/>
        <v>-60.69999999999993</v>
      </c>
    </row>
    <row r="42" spans="1:19" s="2" customFormat="1" ht="63.75" customHeight="1">
      <c r="A42" s="57"/>
      <c r="B42" s="11" t="s">
        <v>398</v>
      </c>
      <c r="C42" s="23" t="s">
        <v>34</v>
      </c>
      <c r="D42" s="32" t="s">
        <v>25</v>
      </c>
      <c r="E42" s="32" t="s">
        <v>52</v>
      </c>
      <c r="F42" s="24" t="s">
        <v>395</v>
      </c>
      <c r="G42" s="23" t="s">
        <v>58</v>
      </c>
      <c r="H42" s="25">
        <f>300+270+116.3</f>
        <v>686.3</v>
      </c>
      <c r="I42" s="26" t="e">
        <f>#REF!</f>
        <v>#REF!</v>
      </c>
      <c r="J42" s="27" t="e">
        <f>#REF!</f>
        <v>#REF!</v>
      </c>
      <c r="K42" s="27" t="e">
        <f>#REF!</f>
        <v>#REF!</v>
      </c>
      <c r="L42" s="27" t="e">
        <f>#REF!</f>
        <v>#REF!</v>
      </c>
      <c r="M42" s="27" t="e">
        <f>#REF!</f>
        <v>#REF!</v>
      </c>
      <c r="N42" s="27" t="e">
        <f>#REF!</f>
        <v>#REF!</v>
      </c>
      <c r="O42" s="27" t="e">
        <f>#REF!</f>
        <v>#REF!</v>
      </c>
      <c r="P42" s="27" t="e">
        <f>#REF!</f>
        <v>#REF!</v>
      </c>
      <c r="Q42" s="27" t="e">
        <f>#REF!</f>
        <v>#REF!</v>
      </c>
      <c r="R42" s="13">
        <v>625.6</v>
      </c>
      <c r="S42" s="16">
        <f t="shared" si="1"/>
        <v>-60.69999999999993</v>
      </c>
    </row>
    <row r="43" spans="1:19" s="2" customFormat="1" ht="42.75" customHeight="1">
      <c r="A43" s="57"/>
      <c r="B43" s="11" t="s">
        <v>333</v>
      </c>
      <c r="C43" s="23" t="s">
        <v>34</v>
      </c>
      <c r="D43" s="23" t="s">
        <v>25</v>
      </c>
      <c r="E43" s="23" t="s">
        <v>52</v>
      </c>
      <c r="F43" s="24" t="s">
        <v>31</v>
      </c>
      <c r="G43" s="23"/>
      <c r="H43" s="25">
        <f>H44</f>
        <v>5</v>
      </c>
      <c r="I43" s="25">
        <f aca="true" t="shared" si="17" ref="I43:R44">I44</f>
        <v>0</v>
      </c>
      <c r="J43" s="25">
        <f t="shared" si="17"/>
        <v>0</v>
      </c>
      <c r="K43" s="25">
        <f t="shared" si="17"/>
        <v>0</v>
      </c>
      <c r="L43" s="25">
        <f t="shared" si="17"/>
        <v>0</v>
      </c>
      <c r="M43" s="25">
        <f t="shared" si="17"/>
        <v>0</v>
      </c>
      <c r="N43" s="25">
        <f t="shared" si="17"/>
        <v>0</v>
      </c>
      <c r="O43" s="25">
        <f t="shared" si="17"/>
        <v>0</v>
      </c>
      <c r="P43" s="25">
        <f t="shared" si="17"/>
        <v>0</v>
      </c>
      <c r="Q43" s="25">
        <f t="shared" si="17"/>
        <v>0</v>
      </c>
      <c r="R43" s="25">
        <f t="shared" si="17"/>
        <v>5</v>
      </c>
      <c r="S43" s="16">
        <f t="shared" si="1"/>
        <v>0</v>
      </c>
    </row>
    <row r="44" spans="1:19" s="2" customFormat="1" ht="63.75" customHeight="1">
      <c r="A44" s="57"/>
      <c r="B44" s="11" t="s">
        <v>197</v>
      </c>
      <c r="C44" s="23" t="s">
        <v>34</v>
      </c>
      <c r="D44" s="23" t="s">
        <v>25</v>
      </c>
      <c r="E44" s="23" t="s">
        <v>52</v>
      </c>
      <c r="F44" s="24" t="s">
        <v>208</v>
      </c>
      <c r="G44" s="23"/>
      <c r="H44" s="25">
        <f>H45</f>
        <v>5</v>
      </c>
      <c r="I44" s="25">
        <f t="shared" si="17"/>
        <v>0</v>
      </c>
      <c r="J44" s="25">
        <f t="shared" si="17"/>
        <v>0</v>
      </c>
      <c r="K44" s="25">
        <f t="shared" si="17"/>
        <v>0</v>
      </c>
      <c r="L44" s="25">
        <f t="shared" si="17"/>
        <v>0</v>
      </c>
      <c r="M44" s="25">
        <f t="shared" si="17"/>
        <v>0</v>
      </c>
      <c r="N44" s="25">
        <f t="shared" si="17"/>
        <v>0</v>
      </c>
      <c r="O44" s="25">
        <f t="shared" si="17"/>
        <v>0</v>
      </c>
      <c r="P44" s="25">
        <f t="shared" si="17"/>
        <v>0</v>
      </c>
      <c r="Q44" s="25">
        <f t="shared" si="17"/>
        <v>0</v>
      </c>
      <c r="R44" s="25">
        <f t="shared" si="17"/>
        <v>5</v>
      </c>
      <c r="S44" s="16">
        <f t="shared" si="1"/>
        <v>0</v>
      </c>
    </row>
    <row r="45" spans="1:19" s="2" customFormat="1" ht="61.5" customHeight="1">
      <c r="A45" s="57"/>
      <c r="B45" s="11" t="s">
        <v>329</v>
      </c>
      <c r="C45" s="23" t="s">
        <v>34</v>
      </c>
      <c r="D45" s="23" t="s">
        <v>25</v>
      </c>
      <c r="E45" s="23" t="s">
        <v>52</v>
      </c>
      <c r="F45" s="24" t="s">
        <v>102</v>
      </c>
      <c r="G45" s="23" t="s">
        <v>58</v>
      </c>
      <c r="H45" s="25">
        <f>50-45</f>
        <v>5</v>
      </c>
      <c r="I45" s="63"/>
      <c r="J45" s="64"/>
      <c r="K45" s="64"/>
      <c r="L45" s="64"/>
      <c r="M45" s="64"/>
      <c r="N45" s="64"/>
      <c r="O45" s="64"/>
      <c r="P45" s="64"/>
      <c r="Q45" s="64"/>
      <c r="R45" s="65">
        <v>5</v>
      </c>
      <c r="S45" s="16">
        <f t="shared" si="1"/>
        <v>0</v>
      </c>
    </row>
    <row r="46" spans="1:19" s="2" customFormat="1" ht="56.25" customHeight="1">
      <c r="A46" s="57"/>
      <c r="B46" s="11" t="s">
        <v>334</v>
      </c>
      <c r="C46" s="23" t="s">
        <v>34</v>
      </c>
      <c r="D46" s="23" t="s">
        <v>25</v>
      </c>
      <c r="E46" s="23" t="s">
        <v>52</v>
      </c>
      <c r="F46" s="24" t="s">
        <v>24</v>
      </c>
      <c r="G46" s="23"/>
      <c r="H46" s="25">
        <f>H47</f>
        <v>0</v>
      </c>
      <c r="I46" s="25">
        <f aca="true" t="shared" si="18" ref="I46:R47">I47</f>
        <v>0</v>
      </c>
      <c r="J46" s="25">
        <f t="shared" si="18"/>
        <v>0</v>
      </c>
      <c r="K46" s="25">
        <f t="shared" si="18"/>
        <v>0</v>
      </c>
      <c r="L46" s="25">
        <f t="shared" si="18"/>
        <v>0</v>
      </c>
      <c r="M46" s="25">
        <f t="shared" si="18"/>
        <v>0</v>
      </c>
      <c r="N46" s="25">
        <f t="shared" si="18"/>
        <v>0</v>
      </c>
      <c r="O46" s="25">
        <f t="shared" si="18"/>
        <v>0</v>
      </c>
      <c r="P46" s="25">
        <f t="shared" si="18"/>
        <v>0</v>
      </c>
      <c r="Q46" s="25">
        <f t="shared" si="18"/>
        <v>0</v>
      </c>
      <c r="R46" s="25">
        <f t="shared" si="18"/>
        <v>0</v>
      </c>
      <c r="S46" s="16">
        <f t="shared" si="1"/>
        <v>0</v>
      </c>
    </row>
    <row r="47" spans="1:19" s="2" customFormat="1" ht="63.75" customHeight="1">
      <c r="A47" s="57"/>
      <c r="B47" s="11" t="s">
        <v>103</v>
      </c>
      <c r="C47" s="23" t="s">
        <v>34</v>
      </c>
      <c r="D47" s="23" t="s">
        <v>25</v>
      </c>
      <c r="E47" s="23" t="s">
        <v>52</v>
      </c>
      <c r="F47" s="24" t="s">
        <v>210</v>
      </c>
      <c r="G47" s="23"/>
      <c r="H47" s="25">
        <f>H48</f>
        <v>0</v>
      </c>
      <c r="I47" s="25">
        <f t="shared" si="18"/>
        <v>0</v>
      </c>
      <c r="J47" s="25">
        <f t="shared" si="18"/>
        <v>0</v>
      </c>
      <c r="K47" s="25">
        <f t="shared" si="18"/>
        <v>0</v>
      </c>
      <c r="L47" s="25">
        <f t="shared" si="18"/>
        <v>0</v>
      </c>
      <c r="M47" s="25">
        <f t="shared" si="18"/>
        <v>0</v>
      </c>
      <c r="N47" s="25">
        <f t="shared" si="18"/>
        <v>0</v>
      </c>
      <c r="O47" s="25">
        <f t="shared" si="18"/>
        <v>0</v>
      </c>
      <c r="P47" s="25">
        <f t="shared" si="18"/>
        <v>0</v>
      </c>
      <c r="Q47" s="25">
        <f t="shared" si="18"/>
        <v>0</v>
      </c>
      <c r="R47" s="25">
        <f t="shared" si="18"/>
        <v>0</v>
      </c>
      <c r="S47" s="16">
        <f t="shared" si="1"/>
        <v>0</v>
      </c>
    </row>
    <row r="48" spans="1:19" s="2" customFormat="1" ht="81.75" customHeight="1">
      <c r="A48" s="57"/>
      <c r="B48" s="11" t="s">
        <v>328</v>
      </c>
      <c r="C48" s="23" t="s">
        <v>34</v>
      </c>
      <c r="D48" s="23" t="s">
        <v>25</v>
      </c>
      <c r="E48" s="23" t="s">
        <v>52</v>
      </c>
      <c r="F48" s="24" t="s">
        <v>104</v>
      </c>
      <c r="G48" s="23" t="s">
        <v>58</v>
      </c>
      <c r="H48" s="25">
        <f>20-20</f>
        <v>0</v>
      </c>
      <c r="I48" s="63"/>
      <c r="J48" s="64"/>
      <c r="K48" s="64"/>
      <c r="L48" s="64"/>
      <c r="M48" s="64"/>
      <c r="N48" s="64"/>
      <c r="O48" s="64"/>
      <c r="P48" s="64"/>
      <c r="Q48" s="64"/>
      <c r="R48" s="65"/>
      <c r="S48" s="16">
        <f t="shared" si="1"/>
        <v>0</v>
      </c>
    </row>
    <row r="49" spans="1:19" s="2" customFormat="1" ht="31.5" customHeight="1">
      <c r="A49" s="57"/>
      <c r="B49" s="11" t="s">
        <v>105</v>
      </c>
      <c r="C49" s="23" t="s">
        <v>34</v>
      </c>
      <c r="D49" s="23" t="s">
        <v>25</v>
      </c>
      <c r="E49" s="23" t="s">
        <v>52</v>
      </c>
      <c r="F49" s="24" t="s">
        <v>27</v>
      </c>
      <c r="G49" s="23"/>
      <c r="H49" s="25">
        <f>H50</f>
        <v>13</v>
      </c>
      <c r="I49" s="25">
        <f aca="true" t="shared" si="19" ref="I49:R50">I50</f>
        <v>0</v>
      </c>
      <c r="J49" s="25">
        <f t="shared" si="19"/>
        <v>0</v>
      </c>
      <c r="K49" s="25">
        <f t="shared" si="19"/>
        <v>0</v>
      </c>
      <c r="L49" s="25">
        <f t="shared" si="19"/>
        <v>0</v>
      </c>
      <c r="M49" s="25">
        <f t="shared" si="19"/>
        <v>0</v>
      </c>
      <c r="N49" s="25">
        <f t="shared" si="19"/>
        <v>0</v>
      </c>
      <c r="O49" s="25">
        <f t="shared" si="19"/>
        <v>0</v>
      </c>
      <c r="P49" s="25">
        <f t="shared" si="19"/>
        <v>0</v>
      </c>
      <c r="Q49" s="25">
        <f t="shared" si="19"/>
        <v>0</v>
      </c>
      <c r="R49" s="25">
        <f t="shared" si="19"/>
        <v>11</v>
      </c>
      <c r="S49" s="16">
        <f t="shared" si="1"/>
        <v>-2</v>
      </c>
    </row>
    <row r="50" spans="1:19" s="2" customFormat="1" ht="51.75" customHeight="1">
      <c r="A50" s="57"/>
      <c r="B50" s="11" t="s">
        <v>279</v>
      </c>
      <c r="C50" s="23" t="s">
        <v>34</v>
      </c>
      <c r="D50" s="23" t="s">
        <v>25</v>
      </c>
      <c r="E50" s="23" t="s">
        <v>52</v>
      </c>
      <c r="F50" s="24" t="s">
        <v>211</v>
      </c>
      <c r="G50" s="23"/>
      <c r="H50" s="25">
        <f>H51</f>
        <v>13</v>
      </c>
      <c r="I50" s="25">
        <f t="shared" si="19"/>
        <v>0</v>
      </c>
      <c r="J50" s="25">
        <f t="shared" si="19"/>
        <v>0</v>
      </c>
      <c r="K50" s="25">
        <f t="shared" si="19"/>
        <v>0</v>
      </c>
      <c r="L50" s="25">
        <f t="shared" si="19"/>
        <v>0</v>
      </c>
      <c r="M50" s="25">
        <f t="shared" si="19"/>
        <v>0</v>
      </c>
      <c r="N50" s="25">
        <f t="shared" si="19"/>
        <v>0</v>
      </c>
      <c r="O50" s="25">
        <f t="shared" si="19"/>
        <v>0</v>
      </c>
      <c r="P50" s="25">
        <f t="shared" si="19"/>
        <v>0</v>
      </c>
      <c r="Q50" s="25">
        <f t="shared" si="19"/>
        <v>0</v>
      </c>
      <c r="R50" s="25">
        <f t="shared" si="19"/>
        <v>11</v>
      </c>
      <c r="S50" s="16">
        <f t="shared" si="1"/>
        <v>-2</v>
      </c>
    </row>
    <row r="51" spans="1:19" s="2" customFormat="1" ht="66.75" customHeight="1">
      <c r="A51" s="57"/>
      <c r="B51" s="11" t="s">
        <v>327</v>
      </c>
      <c r="C51" s="23" t="s">
        <v>34</v>
      </c>
      <c r="D51" s="23" t="s">
        <v>25</v>
      </c>
      <c r="E51" s="23" t="s">
        <v>52</v>
      </c>
      <c r="F51" s="24" t="s">
        <v>106</v>
      </c>
      <c r="G51" s="23" t="s">
        <v>58</v>
      </c>
      <c r="H51" s="25">
        <v>13</v>
      </c>
      <c r="I51" s="63"/>
      <c r="J51" s="64"/>
      <c r="K51" s="64"/>
      <c r="L51" s="64"/>
      <c r="M51" s="64"/>
      <c r="N51" s="64"/>
      <c r="O51" s="64"/>
      <c r="P51" s="64"/>
      <c r="Q51" s="64"/>
      <c r="R51" s="65">
        <v>11</v>
      </c>
      <c r="S51" s="16">
        <f t="shared" si="1"/>
        <v>-2</v>
      </c>
    </row>
    <row r="52" spans="1:19" s="1" customFormat="1" ht="30">
      <c r="A52" s="56"/>
      <c r="B52" s="11" t="s">
        <v>86</v>
      </c>
      <c r="C52" s="23" t="s">
        <v>34</v>
      </c>
      <c r="D52" s="23" t="s">
        <v>25</v>
      </c>
      <c r="E52" s="23" t="s">
        <v>52</v>
      </c>
      <c r="F52" s="24" t="s">
        <v>82</v>
      </c>
      <c r="G52" s="23"/>
      <c r="H52" s="25">
        <f>H53</f>
        <v>2596.9</v>
      </c>
      <c r="I52" s="25" t="e">
        <f aca="true" t="shared" si="20" ref="I52:R52">I53</f>
        <v>#REF!</v>
      </c>
      <c r="J52" s="25" t="e">
        <f t="shared" si="20"/>
        <v>#REF!</v>
      </c>
      <c r="K52" s="25" t="e">
        <f t="shared" si="20"/>
        <v>#REF!</v>
      </c>
      <c r="L52" s="25" t="e">
        <f t="shared" si="20"/>
        <v>#REF!</v>
      </c>
      <c r="M52" s="25" t="e">
        <f t="shared" si="20"/>
        <v>#REF!</v>
      </c>
      <c r="N52" s="25" t="e">
        <f t="shared" si="20"/>
        <v>#REF!</v>
      </c>
      <c r="O52" s="25" t="e">
        <f t="shared" si="20"/>
        <v>#REF!</v>
      </c>
      <c r="P52" s="25" t="e">
        <f t="shared" si="20"/>
        <v>#REF!</v>
      </c>
      <c r="Q52" s="25" t="e">
        <f t="shared" si="20"/>
        <v>#REF!</v>
      </c>
      <c r="R52" s="25">
        <f t="shared" si="20"/>
        <v>2550.8</v>
      </c>
      <c r="S52" s="16">
        <f t="shared" si="1"/>
        <v>-46.09999999999991</v>
      </c>
    </row>
    <row r="53" spans="1:19" s="1" customFormat="1" ht="15">
      <c r="A53" s="56"/>
      <c r="B53" s="11" t="s">
        <v>78</v>
      </c>
      <c r="C53" s="23" t="s">
        <v>80</v>
      </c>
      <c r="D53" s="23" t="s">
        <v>25</v>
      </c>
      <c r="E53" s="23" t="s">
        <v>52</v>
      </c>
      <c r="F53" s="24" t="s">
        <v>83</v>
      </c>
      <c r="G53" s="23"/>
      <c r="H53" s="25">
        <f aca="true" t="shared" si="21" ref="H53:R53">H54+H55+H56</f>
        <v>2596.9</v>
      </c>
      <c r="I53" s="25" t="e">
        <f t="shared" si="21"/>
        <v>#REF!</v>
      </c>
      <c r="J53" s="25" t="e">
        <f t="shared" si="21"/>
        <v>#REF!</v>
      </c>
      <c r="K53" s="25" t="e">
        <f t="shared" si="21"/>
        <v>#REF!</v>
      </c>
      <c r="L53" s="25" t="e">
        <f t="shared" si="21"/>
        <v>#REF!</v>
      </c>
      <c r="M53" s="25" t="e">
        <f t="shared" si="21"/>
        <v>#REF!</v>
      </c>
      <c r="N53" s="25" t="e">
        <f t="shared" si="21"/>
        <v>#REF!</v>
      </c>
      <c r="O53" s="25" t="e">
        <f t="shared" si="21"/>
        <v>#REF!</v>
      </c>
      <c r="P53" s="25" t="e">
        <f t="shared" si="21"/>
        <v>#REF!</v>
      </c>
      <c r="Q53" s="25" t="e">
        <f t="shared" si="21"/>
        <v>#REF!</v>
      </c>
      <c r="R53" s="25">
        <f t="shared" si="21"/>
        <v>2550.8</v>
      </c>
      <c r="S53" s="16">
        <f t="shared" si="1"/>
        <v>-46.09999999999991</v>
      </c>
    </row>
    <row r="54" spans="1:19" s="1" customFormat="1" ht="90" customHeight="1">
      <c r="A54" s="56"/>
      <c r="B54" s="11" t="s">
        <v>93</v>
      </c>
      <c r="C54" s="23" t="s">
        <v>34</v>
      </c>
      <c r="D54" s="23" t="s">
        <v>25</v>
      </c>
      <c r="E54" s="23" t="s">
        <v>52</v>
      </c>
      <c r="F54" s="24" t="s">
        <v>73</v>
      </c>
      <c r="G54" s="23" t="s">
        <v>59</v>
      </c>
      <c r="H54" s="25">
        <f>2242+4.3+108.6</f>
        <v>2354.9</v>
      </c>
      <c r="I54" s="26" t="e">
        <f>I55+#REF!+#REF!+#REF!</f>
        <v>#REF!</v>
      </c>
      <c r="J54" s="27" t="e">
        <f>J55+#REF!+#REF!+#REF!</f>
        <v>#REF!</v>
      </c>
      <c r="K54" s="27" t="e">
        <f>K55+#REF!+#REF!+#REF!</f>
        <v>#REF!</v>
      </c>
      <c r="L54" s="27" t="e">
        <f>L55+#REF!+#REF!+#REF!</f>
        <v>#REF!</v>
      </c>
      <c r="M54" s="27" t="e">
        <f>M55+#REF!+#REF!+#REF!</f>
        <v>#REF!</v>
      </c>
      <c r="N54" s="27" t="e">
        <f>N55+#REF!+#REF!+#REF!</f>
        <v>#REF!</v>
      </c>
      <c r="O54" s="27" t="e">
        <f>O55+#REF!+#REF!+#REF!</f>
        <v>#REF!</v>
      </c>
      <c r="P54" s="27" t="e">
        <f>P55+#REF!+#REF!+#REF!</f>
        <v>#REF!</v>
      </c>
      <c r="Q54" s="27" t="e">
        <f>Q55+#REF!+#REF!+#REF!</f>
        <v>#REF!</v>
      </c>
      <c r="R54" s="13">
        <v>2342.5</v>
      </c>
      <c r="S54" s="16">
        <f t="shared" si="1"/>
        <v>-12.400000000000091</v>
      </c>
    </row>
    <row r="55" spans="1:19" s="1" customFormat="1" ht="61.5" customHeight="1">
      <c r="A55" s="56"/>
      <c r="B55" s="11" t="s">
        <v>94</v>
      </c>
      <c r="C55" s="23" t="s">
        <v>34</v>
      </c>
      <c r="D55" s="23" t="s">
        <v>25</v>
      </c>
      <c r="E55" s="23" t="s">
        <v>52</v>
      </c>
      <c r="F55" s="24" t="s">
        <v>73</v>
      </c>
      <c r="G55" s="23" t="s">
        <v>58</v>
      </c>
      <c r="H55" s="25">
        <f>130+12+55+33+13.5+1.5-6</f>
        <v>239</v>
      </c>
      <c r="I55" s="26" t="e">
        <f>I76+#REF!</f>
        <v>#REF!</v>
      </c>
      <c r="J55" s="27" t="e">
        <f>J76+#REF!</f>
        <v>#REF!</v>
      </c>
      <c r="K55" s="27" t="e">
        <f>K76+#REF!</f>
        <v>#REF!</v>
      </c>
      <c r="L55" s="27" t="e">
        <f>L76+#REF!</f>
        <v>#REF!</v>
      </c>
      <c r="M55" s="27" t="e">
        <f>M76+#REF!</f>
        <v>#REF!</v>
      </c>
      <c r="N55" s="27" t="e">
        <f>N76+#REF!</f>
        <v>#REF!</v>
      </c>
      <c r="O55" s="27" t="e">
        <f>O76+#REF!</f>
        <v>#REF!</v>
      </c>
      <c r="P55" s="27" t="e">
        <f>P76+#REF!</f>
        <v>#REF!</v>
      </c>
      <c r="Q55" s="27" t="e">
        <f>Q76+#REF!</f>
        <v>#REF!</v>
      </c>
      <c r="R55" s="13">
        <v>208.3</v>
      </c>
      <c r="S55" s="16">
        <f t="shared" si="1"/>
        <v>-30.69999999999999</v>
      </c>
    </row>
    <row r="56" spans="1:19" s="1" customFormat="1" ht="48" customHeight="1">
      <c r="A56" s="56"/>
      <c r="B56" s="11" t="s">
        <v>271</v>
      </c>
      <c r="C56" s="23" t="s">
        <v>34</v>
      </c>
      <c r="D56" s="23" t="s">
        <v>25</v>
      </c>
      <c r="E56" s="23" t="s">
        <v>52</v>
      </c>
      <c r="F56" s="24" t="s">
        <v>73</v>
      </c>
      <c r="G56" s="23" t="s">
        <v>54</v>
      </c>
      <c r="H56" s="25">
        <v>3</v>
      </c>
      <c r="I56" s="66"/>
      <c r="J56" s="28"/>
      <c r="K56" s="28"/>
      <c r="L56" s="28"/>
      <c r="M56" s="28"/>
      <c r="N56" s="28"/>
      <c r="O56" s="28"/>
      <c r="P56" s="28"/>
      <c r="Q56" s="28"/>
      <c r="R56" s="13"/>
      <c r="S56" s="16">
        <f t="shared" si="1"/>
        <v>-3</v>
      </c>
    </row>
    <row r="57" spans="1:19" s="1" customFormat="1" ht="36" customHeight="1">
      <c r="A57" s="56"/>
      <c r="B57" s="11" t="s">
        <v>97</v>
      </c>
      <c r="C57" s="23" t="s">
        <v>34</v>
      </c>
      <c r="D57" s="23" t="s">
        <v>25</v>
      </c>
      <c r="E57" s="23" t="s">
        <v>52</v>
      </c>
      <c r="F57" s="24" t="s">
        <v>96</v>
      </c>
      <c r="G57" s="23"/>
      <c r="H57" s="25">
        <f>H58</f>
        <v>3110.1</v>
      </c>
      <c r="I57" s="25">
        <f aca="true" t="shared" si="22" ref="I57:R58">I58</f>
        <v>0</v>
      </c>
      <c r="J57" s="25">
        <f t="shared" si="22"/>
        <v>0</v>
      </c>
      <c r="K57" s="25">
        <f t="shared" si="22"/>
        <v>0</v>
      </c>
      <c r="L57" s="25">
        <f t="shared" si="22"/>
        <v>0</v>
      </c>
      <c r="M57" s="25">
        <f t="shared" si="22"/>
        <v>0</v>
      </c>
      <c r="N57" s="25">
        <f t="shared" si="22"/>
        <v>0</v>
      </c>
      <c r="O57" s="25">
        <f t="shared" si="22"/>
        <v>0</v>
      </c>
      <c r="P57" s="25">
        <f t="shared" si="22"/>
        <v>0</v>
      </c>
      <c r="Q57" s="25">
        <f t="shared" si="22"/>
        <v>0</v>
      </c>
      <c r="R57" s="25">
        <f t="shared" si="22"/>
        <v>3046.8</v>
      </c>
      <c r="S57" s="16">
        <f t="shared" si="1"/>
        <v>-63.29999999999973</v>
      </c>
    </row>
    <row r="58" spans="1:19" s="1" customFormat="1" ht="21.75" customHeight="1">
      <c r="A58" s="56"/>
      <c r="B58" s="11" t="s">
        <v>78</v>
      </c>
      <c r="C58" s="23" t="s">
        <v>34</v>
      </c>
      <c r="D58" s="23" t="s">
        <v>25</v>
      </c>
      <c r="E58" s="23" t="s">
        <v>52</v>
      </c>
      <c r="F58" s="24" t="s">
        <v>98</v>
      </c>
      <c r="G58" s="23"/>
      <c r="H58" s="25">
        <f>H59</f>
        <v>3110.1</v>
      </c>
      <c r="I58" s="25">
        <f t="shared" si="22"/>
        <v>0</v>
      </c>
      <c r="J58" s="25">
        <f t="shared" si="22"/>
        <v>0</v>
      </c>
      <c r="K58" s="25">
        <f t="shared" si="22"/>
        <v>0</v>
      </c>
      <c r="L58" s="25">
        <f t="shared" si="22"/>
        <v>0</v>
      </c>
      <c r="M58" s="25">
        <f t="shared" si="22"/>
        <v>0</v>
      </c>
      <c r="N58" s="25">
        <f t="shared" si="22"/>
        <v>0</v>
      </c>
      <c r="O58" s="25">
        <f t="shared" si="22"/>
        <v>0</v>
      </c>
      <c r="P58" s="25">
        <f t="shared" si="22"/>
        <v>0</v>
      </c>
      <c r="Q58" s="25">
        <f t="shared" si="22"/>
        <v>0</v>
      </c>
      <c r="R58" s="25">
        <f t="shared" si="22"/>
        <v>3046.8</v>
      </c>
      <c r="S58" s="16">
        <f t="shared" si="1"/>
        <v>-63.29999999999973</v>
      </c>
    </row>
    <row r="59" spans="1:19" s="88" customFormat="1" ht="90.75" customHeight="1">
      <c r="A59" s="84"/>
      <c r="B59" s="11" t="s">
        <v>196</v>
      </c>
      <c r="C59" s="23" t="s">
        <v>34</v>
      </c>
      <c r="D59" s="23" t="s">
        <v>25</v>
      </c>
      <c r="E59" s="23" t="s">
        <v>52</v>
      </c>
      <c r="F59" s="24" t="s">
        <v>74</v>
      </c>
      <c r="G59" s="23" t="s">
        <v>55</v>
      </c>
      <c r="H59" s="25">
        <f>4210.8-63.6-1000-37.1</f>
        <v>3110.1</v>
      </c>
      <c r="I59" s="26"/>
      <c r="J59" s="27"/>
      <c r="K59" s="27"/>
      <c r="L59" s="27"/>
      <c r="M59" s="27"/>
      <c r="N59" s="27"/>
      <c r="O59" s="27"/>
      <c r="P59" s="27"/>
      <c r="Q59" s="27"/>
      <c r="R59" s="13">
        <v>3046.8</v>
      </c>
      <c r="S59" s="16">
        <f t="shared" si="1"/>
        <v>-63.29999999999973</v>
      </c>
    </row>
    <row r="60" spans="1:19" s="1" customFormat="1" ht="29.25" customHeight="1">
      <c r="A60" s="56"/>
      <c r="B60" s="11" t="s">
        <v>300</v>
      </c>
      <c r="C60" s="23" t="s">
        <v>34</v>
      </c>
      <c r="D60" s="23" t="s">
        <v>25</v>
      </c>
      <c r="E60" s="23" t="s">
        <v>52</v>
      </c>
      <c r="F60" s="24" t="s">
        <v>299</v>
      </c>
      <c r="G60" s="23"/>
      <c r="H60" s="25">
        <f>H61</f>
        <v>2066</v>
      </c>
      <c r="I60" s="25">
        <f aca="true" t="shared" si="23" ref="I60:R60">I61</f>
        <v>0</v>
      </c>
      <c r="J60" s="25">
        <f t="shared" si="23"/>
        <v>0</v>
      </c>
      <c r="K60" s="25">
        <f t="shared" si="23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25">
        <f t="shared" si="23"/>
        <v>0</v>
      </c>
      <c r="P60" s="25">
        <f t="shared" si="23"/>
        <v>0</v>
      </c>
      <c r="Q60" s="25">
        <f t="shared" si="23"/>
        <v>0</v>
      </c>
      <c r="R60" s="25">
        <f t="shared" si="23"/>
        <v>2055.9</v>
      </c>
      <c r="S60" s="16">
        <f t="shared" si="1"/>
        <v>-10.099999999999909</v>
      </c>
    </row>
    <row r="61" spans="1:19" s="1" customFormat="1" ht="19.5" customHeight="1">
      <c r="A61" s="56"/>
      <c r="B61" s="11" t="s">
        <v>78</v>
      </c>
      <c r="C61" s="23" t="s">
        <v>34</v>
      </c>
      <c r="D61" s="23" t="s">
        <v>25</v>
      </c>
      <c r="E61" s="23" t="s">
        <v>52</v>
      </c>
      <c r="F61" s="24" t="s">
        <v>298</v>
      </c>
      <c r="G61" s="23"/>
      <c r="H61" s="25">
        <f>H62+H63+H64+H65+H66+H67+H68</f>
        <v>2066</v>
      </c>
      <c r="I61" s="25">
        <f aca="true" t="shared" si="24" ref="I61:R61">I62+I63+I64+I65+I66+I67+I68</f>
        <v>0</v>
      </c>
      <c r="J61" s="25">
        <f t="shared" si="24"/>
        <v>0</v>
      </c>
      <c r="K61" s="25">
        <f t="shared" si="24"/>
        <v>0</v>
      </c>
      <c r="L61" s="25">
        <f t="shared" si="24"/>
        <v>0</v>
      </c>
      <c r="M61" s="25">
        <f t="shared" si="24"/>
        <v>0</v>
      </c>
      <c r="N61" s="25">
        <f t="shared" si="24"/>
        <v>0</v>
      </c>
      <c r="O61" s="25">
        <f t="shared" si="24"/>
        <v>0</v>
      </c>
      <c r="P61" s="25">
        <f t="shared" si="24"/>
        <v>0</v>
      </c>
      <c r="Q61" s="25">
        <f t="shared" si="24"/>
        <v>0</v>
      </c>
      <c r="R61" s="25">
        <f t="shared" si="24"/>
        <v>2055.9</v>
      </c>
      <c r="S61" s="16">
        <f t="shared" si="1"/>
        <v>-10.099999999999909</v>
      </c>
    </row>
    <row r="62" spans="1:19" s="1" customFormat="1" ht="144" customHeight="1">
      <c r="A62" s="56"/>
      <c r="B62" s="11" t="s">
        <v>95</v>
      </c>
      <c r="C62" s="23" t="s">
        <v>34</v>
      </c>
      <c r="D62" s="23" t="s">
        <v>25</v>
      </c>
      <c r="E62" s="23" t="s">
        <v>52</v>
      </c>
      <c r="F62" s="24" t="s">
        <v>294</v>
      </c>
      <c r="G62" s="23" t="s">
        <v>59</v>
      </c>
      <c r="H62" s="25">
        <f>217.6+26.1</f>
        <v>243.7</v>
      </c>
      <c r="I62" s="26"/>
      <c r="J62" s="27"/>
      <c r="K62" s="27"/>
      <c r="L62" s="27"/>
      <c r="M62" s="27"/>
      <c r="N62" s="27"/>
      <c r="O62" s="27"/>
      <c r="P62" s="27"/>
      <c r="Q62" s="27"/>
      <c r="R62" s="13">
        <v>243.7</v>
      </c>
      <c r="S62" s="16">
        <f t="shared" si="1"/>
        <v>0</v>
      </c>
    </row>
    <row r="63" spans="1:19" s="1" customFormat="1" ht="105">
      <c r="A63" s="56"/>
      <c r="B63" s="11" t="s">
        <v>291</v>
      </c>
      <c r="C63" s="23" t="s">
        <v>34</v>
      </c>
      <c r="D63" s="23" t="s">
        <v>25</v>
      </c>
      <c r="E63" s="23" t="s">
        <v>52</v>
      </c>
      <c r="F63" s="24" t="s">
        <v>294</v>
      </c>
      <c r="G63" s="23" t="s">
        <v>58</v>
      </c>
      <c r="H63" s="25">
        <f>68.7-29.9+3.8</f>
        <v>42.6</v>
      </c>
      <c r="I63" s="26"/>
      <c r="J63" s="27"/>
      <c r="K63" s="27"/>
      <c r="L63" s="27"/>
      <c r="M63" s="27"/>
      <c r="N63" s="27"/>
      <c r="O63" s="27"/>
      <c r="P63" s="27"/>
      <c r="Q63" s="27"/>
      <c r="R63" s="13">
        <v>41.6</v>
      </c>
      <c r="S63" s="16">
        <f t="shared" si="1"/>
        <v>-1</v>
      </c>
    </row>
    <row r="64" spans="1:19" s="1" customFormat="1" ht="126.75" customHeight="1">
      <c r="A64" s="56"/>
      <c r="B64" s="11" t="s">
        <v>277</v>
      </c>
      <c r="C64" s="23" t="s">
        <v>34</v>
      </c>
      <c r="D64" s="23" t="s">
        <v>25</v>
      </c>
      <c r="E64" s="23" t="s">
        <v>52</v>
      </c>
      <c r="F64" s="24" t="s">
        <v>295</v>
      </c>
      <c r="G64" s="23" t="s">
        <v>59</v>
      </c>
      <c r="H64" s="25">
        <f>275.3+14.6</f>
        <v>289.90000000000003</v>
      </c>
      <c r="I64" s="26"/>
      <c r="J64" s="27"/>
      <c r="K64" s="27"/>
      <c r="L64" s="27"/>
      <c r="M64" s="27"/>
      <c r="N64" s="27"/>
      <c r="O64" s="27"/>
      <c r="P64" s="27"/>
      <c r="Q64" s="27"/>
      <c r="R64" s="13">
        <v>289.9</v>
      </c>
      <c r="S64" s="16">
        <f t="shared" si="1"/>
        <v>0</v>
      </c>
    </row>
    <row r="65" spans="1:19" s="1" customFormat="1" ht="95.25" customHeight="1">
      <c r="A65" s="56"/>
      <c r="B65" s="11" t="s">
        <v>326</v>
      </c>
      <c r="C65" s="23" t="s">
        <v>34</v>
      </c>
      <c r="D65" s="23" t="s">
        <v>25</v>
      </c>
      <c r="E65" s="23" t="s">
        <v>52</v>
      </c>
      <c r="F65" s="24" t="s">
        <v>295</v>
      </c>
      <c r="G65" s="23" t="s">
        <v>58</v>
      </c>
      <c r="H65" s="25">
        <f>62.4-15.3+0.7</f>
        <v>47.8</v>
      </c>
      <c r="I65" s="26"/>
      <c r="J65" s="27"/>
      <c r="K65" s="27"/>
      <c r="L65" s="27"/>
      <c r="M65" s="27"/>
      <c r="N65" s="27"/>
      <c r="O65" s="27"/>
      <c r="P65" s="27"/>
      <c r="Q65" s="27"/>
      <c r="R65" s="13">
        <v>44.1</v>
      </c>
      <c r="S65" s="16">
        <f t="shared" si="1"/>
        <v>-3.6999999999999957</v>
      </c>
    </row>
    <row r="66" spans="1:19" s="1" customFormat="1" ht="147.75" customHeight="1">
      <c r="A66" s="56"/>
      <c r="B66" s="11" t="s">
        <v>278</v>
      </c>
      <c r="C66" s="23" t="s">
        <v>34</v>
      </c>
      <c r="D66" s="23" t="s">
        <v>25</v>
      </c>
      <c r="E66" s="23" t="s">
        <v>52</v>
      </c>
      <c r="F66" s="24" t="s">
        <v>296</v>
      </c>
      <c r="G66" s="23" t="s">
        <v>59</v>
      </c>
      <c r="H66" s="25">
        <f>630.5+24.9</f>
        <v>655.4</v>
      </c>
      <c r="I66" s="26"/>
      <c r="J66" s="27"/>
      <c r="K66" s="27"/>
      <c r="L66" s="27"/>
      <c r="M66" s="27"/>
      <c r="N66" s="27"/>
      <c r="O66" s="27"/>
      <c r="P66" s="27"/>
      <c r="Q66" s="27"/>
      <c r="R66" s="13">
        <v>652.6</v>
      </c>
      <c r="S66" s="16">
        <f t="shared" si="1"/>
        <v>-2.7999999999999545</v>
      </c>
    </row>
    <row r="67" spans="1:19" s="1" customFormat="1" ht="105">
      <c r="A67" s="56"/>
      <c r="B67" s="11" t="s">
        <v>310</v>
      </c>
      <c r="C67" s="23" t="s">
        <v>34</v>
      </c>
      <c r="D67" s="23" t="s">
        <v>25</v>
      </c>
      <c r="E67" s="23" t="s">
        <v>52</v>
      </c>
      <c r="F67" s="24" t="s">
        <v>296</v>
      </c>
      <c r="G67" s="23" t="s">
        <v>58</v>
      </c>
      <c r="H67" s="25">
        <f>177.5-25.2+0.3</f>
        <v>152.60000000000002</v>
      </c>
      <c r="I67" s="26"/>
      <c r="J67" s="27"/>
      <c r="K67" s="27"/>
      <c r="L67" s="27"/>
      <c r="M67" s="27"/>
      <c r="N67" s="27"/>
      <c r="O67" s="27"/>
      <c r="P67" s="27"/>
      <c r="Q67" s="27"/>
      <c r="R67" s="13">
        <v>151.9</v>
      </c>
      <c r="S67" s="16">
        <f t="shared" si="1"/>
        <v>-0.700000000000017</v>
      </c>
    </row>
    <row r="68" spans="1:19" s="1" customFormat="1" ht="45">
      <c r="A68" s="56"/>
      <c r="B68" s="11" t="s">
        <v>292</v>
      </c>
      <c r="C68" s="23" t="s">
        <v>34</v>
      </c>
      <c r="D68" s="23" t="s">
        <v>25</v>
      </c>
      <c r="E68" s="23" t="s">
        <v>52</v>
      </c>
      <c r="F68" s="24" t="s">
        <v>302</v>
      </c>
      <c r="G68" s="23" t="s">
        <v>58</v>
      </c>
      <c r="H68" s="25">
        <f>745.9-111.9</f>
        <v>634</v>
      </c>
      <c r="I68" s="26"/>
      <c r="J68" s="27"/>
      <c r="K68" s="27"/>
      <c r="L68" s="27"/>
      <c r="M68" s="27"/>
      <c r="N68" s="27"/>
      <c r="O68" s="27"/>
      <c r="P68" s="27"/>
      <c r="Q68" s="27"/>
      <c r="R68" s="31">
        <v>632.1</v>
      </c>
      <c r="S68" s="16">
        <f t="shared" si="1"/>
        <v>-1.8999999999999773</v>
      </c>
    </row>
    <row r="69" spans="1:19" s="1" customFormat="1" ht="27" customHeight="1">
      <c r="A69" s="56"/>
      <c r="B69" s="11" t="s">
        <v>90</v>
      </c>
      <c r="C69" s="23" t="s">
        <v>34</v>
      </c>
      <c r="D69" s="23" t="s">
        <v>25</v>
      </c>
      <c r="E69" s="23" t="s">
        <v>52</v>
      </c>
      <c r="F69" s="24" t="s">
        <v>87</v>
      </c>
      <c r="G69" s="23"/>
      <c r="H69" s="25">
        <f>H70</f>
        <v>10</v>
      </c>
      <c r="I69" s="25">
        <f aca="true" t="shared" si="25" ref="I69:R70">I70</f>
        <v>0</v>
      </c>
      <c r="J69" s="25">
        <f t="shared" si="25"/>
        <v>0</v>
      </c>
      <c r="K69" s="25">
        <f t="shared" si="25"/>
        <v>0</v>
      </c>
      <c r="L69" s="25">
        <f t="shared" si="25"/>
        <v>0</v>
      </c>
      <c r="M69" s="25">
        <f t="shared" si="25"/>
        <v>0</v>
      </c>
      <c r="N69" s="25">
        <f t="shared" si="25"/>
        <v>0</v>
      </c>
      <c r="O69" s="25">
        <f t="shared" si="25"/>
        <v>0</v>
      </c>
      <c r="P69" s="25">
        <f t="shared" si="25"/>
        <v>0</v>
      </c>
      <c r="Q69" s="25">
        <f t="shared" si="25"/>
        <v>0</v>
      </c>
      <c r="R69" s="25">
        <f t="shared" si="25"/>
        <v>10</v>
      </c>
      <c r="S69" s="16">
        <f t="shared" si="1"/>
        <v>0</v>
      </c>
    </row>
    <row r="70" spans="1:19" s="1" customFormat="1" ht="15">
      <c r="A70" s="56"/>
      <c r="B70" s="11" t="s">
        <v>78</v>
      </c>
      <c r="C70" s="23" t="s">
        <v>34</v>
      </c>
      <c r="D70" s="23" t="s">
        <v>25</v>
      </c>
      <c r="E70" s="23" t="s">
        <v>52</v>
      </c>
      <c r="F70" s="24" t="s">
        <v>92</v>
      </c>
      <c r="G70" s="23"/>
      <c r="H70" s="25">
        <f>H71</f>
        <v>10</v>
      </c>
      <c r="I70" s="25">
        <f t="shared" si="25"/>
        <v>0</v>
      </c>
      <c r="J70" s="25">
        <f t="shared" si="25"/>
        <v>0</v>
      </c>
      <c r="K70" s="25">
        <f t="shared" si="25"/>
        <v>0</v>
      </c>
      <c r="L70" s="25">
        <f t="shared" si="25"/>
        <v>0</v>
      </c>
      <c r="M70" s="25">
        <f t="shared" si="25"/>
        <v>0</v>
      </c>
      <c r="N70" s="25">
        <f t="shared" si="25"/>
        <v>0</v>
      </c>
      <c r="O70" s="25">
        <f t="shared" si="25"/>
        <v>0</v>
      </c>
      <c r="P70" s="25">
        <f t="shared" si="25"/>
        <v>0</v>
      </c>
      <c r="Q70" s="25">
        <f t="shared" si="25"/>
        <v>0</v>
      </c>
      <c r="R70" s="25">
        <f t="shared" si="25"/>
        <v>10</v>
      </c>
      <c r="S70" s="16">
        <f t="shared" si="1"/>
        <v>0</v>
      </c>
    </row>
    <row r="71" spans="1:19" s="1" customFormat="1" ht="45">
      <c r="A71" s="56"/>
      <c r="B71" s="11" t="s">
        <v>397</v>
      </c>
      <c r="C71" s="23" t="s">
        <v>34</v>
      </c>
      <c r="D71" s="23" t="s">
        <v>25</v>
      </c>
      <c r="E71" s="23" t="s">
        <v>52</v>
      </c>
      <c r="F71" s="24" t="s">
        <v>396</v>
      </c>
      <c r="G71" s="23" t="s">
        <v>60</v>
      </c>
      <c r="H71" s="25">
        <v>10</v>
      </c>
      <c r="I71" s="66"/>
      <c r="J71" s="28"/>
      <c r="K71" s="28"/>
      <c r="L71" s="28"/>
      <c r="M71" s="28"/>
      <c r="N71" s="28"/>
      <c r="O71" s="28"/>
      <c r="P71" s="28"/>
      <c r="Q71" s="28"/>
      <c r="R71" s="13">
        <v>10</v>
      </c>
      <c r="S71" s="16">
        <f t="shared" si="1"/>
        <v>0</v>
      </c>
    </row>
    <row r="72" spans="1:19" s="1" customFormat="1" ht="28.5">
      <c r="A72" s="56"/>
      <c r="B72" s="15" t="s">
        <v>66</v>
      </c>
      <c r="C72" s="17" t="s">
        <v>34</v>
      </c>
      <c r="D72" s="17" t="s">
        <v>28</v>
      </c>
      <c r="E72" s="17"/>
      <c r="F72" s="18"/>
      <c r="G72" s="17"/>
      <c r="H72" s="16">
        <f>H73</f>
        <v>2227.7</v>
      </c>
      <c r="I72" s="16">
        <f aca="true" t="shared" si="26" ref="I72:R72">I73</f>
        <v>0</v>
      </c>
      <c r="J72" s="16">
        <f t="shared" si="26"/>
        <v>0</v>
      </c>
      <c r="K72" s="16">
        <f t="shared" si="26"/>
        <v>0</v>
      </c>
      <c r="L72" s="16">
        <f t="shared" si="26"/>
        <v>0</v>
      </c>
      <c r="M72" s="16">
        <f t="shared" si="26"/>
        <v>0</v>
      </c>
      <c r="N72" s="16">
        <f t="shared" si="26"/>
        <v>0</v>
      </c>
      <c r="O72" s="16">
        <f t="shared" si="26"/>
        <v>0</v>
      </c>
      <c r="P72" s="16">
        <f t="shared" si="26"/>
        <v>0</v>
      </c>
      <c r="Q72" s="16">
        <f t="shared" si="26"/>
        <v>0</v>
      </c>
      <c r="R72" s="16">
        <f t="shared" si="26"/>
        <v>2155.2</v>
      </c>
      <c r="S72" s="16">
        <f t="shared" si="1"/>
        <v>-72.5</v>
      </c>
    </row>
    <row r="73" spans="1:19" s="1" customFormat="1" ht="30">
      <c r="A73" s="56"/>
      <c r="B73" s="19" t="s">
        <v>126</v>
      </c>
      <c r="C73" s="20" t="s">
        <v>34</v>
      </c>
      <c r="D73" s="20" t="s">
        <v>28</v>
      </c>
      <c r="E73" s="20" t="s">
        <v>24</v>
      </c>
      <c r="F73" s="21"/>
      <c r="G73" s="20"/>
      <c r="H73" s="22">
        <f>H74+H78</f>
        <v>2227.7</v>
      </c>
      <c r="I73" s="22">
        <f aca="true" t="shared" si="27" ref="I73:R73">I74+I78</f>
        <v>0</v>
      </c>
      <c r="J73" s="22">
        <f t="shared" si="27"/>
        <v>0</v>
      </c>
      <c r="K73" s="22">
        <f t="shared" si="27"/>
        <v>0</v>
      </c>
      <c r="L73" s="22">
        <f t="shared" si="27"/>
        <v>0</v>
      </c>
      <c r="M73" s="22">
        <f t="shared" si="27"/>
        <v>0</v>
      </c>
      <c r="N73" s="22">
        <f t="shared" si="27"/>
        <v>0</v>
      </c>
      <c r="O73" s="22">
        <f t="shared" si="27"/>
        <v>0</v>
      </c>
      <c r="P73" s="22">
        <f t="shared" si="27"/>
        <v>0</v>
      </c>
      <c r="Q73" s="22">
        <f t="shared" si="27"/>
        <v>0</v>
      </c>
      <c r="R73" s="22">
        <f t="shared" si="27"/>
        <v>2155.2</v>
      </c>
      <c r="S73" s="16">
        <f t="shared" si="1"/>
        <v>-72.5</v>
      </c>
    </row>
    <row r="74" spans="1:19" s="1" customFormat="1" ht="30">
      <c r="A74" s="56"/>
      <c r="B74" s="11" t="s">
        <v>86</v>
      </c>
      <c r="C74" s="23" t="s">
        <v>34</v>
      </c>
      <c r="D74" s="23" t="s">
        <v>28</v>
      </c>
      <c r="E74" s="23" t="s">
        <v>24</v>
      </c>
      <c r="F74" s="24" t="s">
        <v>82</v>
      </c>
      <c r="G74" s="17"/>
      <c r="H74" s="25">
        <f>H75</f>
        <v>1417</v>
      </c>
      <c r="I74" s="25">
        <f aca="true" t="shared" si="28" ref="I74:R74">I75</f>
        <v>0</v>
      </c>
      <c r="J74" s="25">
        <f t="shared" si="28"/>
        <v>0</v>
      </c>
      <c r="K74" s="25">
        <f t="shared" si="28"/>
        <v>0</v>
      </c>
      <c r="L74" s="25">
        <f t="shared" si="28"/>
        <v>0</v>
      </c>
      <c r="M74" s="25">
        <f t="shared" si="28"/>
        <v>0</v>
      </c>
      <c r="N74" s="25">
        <f t="shared" si="28"/>
        <v>0</v>
      </c>
      <c r="O74" s="25">
        <f t="shared" si="28"/>
        <v>0</v>
      </c>
      <c r="P74" s="25">
        <f t="shared" si="28"/>
        <v>0</v>
      </c>
      <c r="Q74" s="25">
        <f t="shared" si="28"/>
        <v>0</v>
      </c>
      <c r="R74" s="25">
        <f t="shared" si="28"/>
        <v>1411.4</v>
      </c>
      <c r="S74" s="16">
        <f aca="true" t="shared" si="29" ref="S74:S137">R74-H74</f>
        <v>-5.599999999999909</v>
      </c>
    </row>
    <row r="75" spans="1:19" s="1" customFormat="1" ht="15">
      <c r="A75" s="56"/>
      <c r="B75" s="11" t="s">
        <v>78</v>
      </c>
      <c r="C75" s="23" t="s">
        <v>80</v>
      </c>
      <c r="D75" s="23" t="s">
        <v>28</v>
      </c>
      <c r="E75" s="23" t="s">
        <v>24</v>
      </c>
      <c r="F75" s="24" t="s">
        <v>83</v>
      </c>
      <c r="G75" s="17"/>
      <c r="H75" s="25">
        <f>H76+H77</f>
        <v>1417</v>
      </c>
      <c r="I75" s="25">
        <f aca="true" t="shared" si="30" ref="I75:R75">I76+I77</f>
        <v>0</v>
      </c>
      <c r="J75" s="25">
        <f t="shared" si="30"/>
        <v>0</v>
      </c>
      <c r="K75" s="25">
        <f t="shared" si="30"/>
        <v>0</v>
      </c>
      <c r="L75" s="25">
        <f t="shared" si="30"/>
        <v>0</v>
      </c>
      <c r="M75" s="25">
        <f t="shared" si="30"/>
        <v>0</v>
      </c>
      <c r="N75" s="25">
        <f t="shared" si="30"/>
        <v>0</v>
      </c>
      <c r="O75" s="25">
        <f t="shared" si="30"/>
        <v>0</v>
      </c>
      <c r="P75" s="25">
        <f t="shared" si="30"/>
        <v>0</v>
      </c>
      <c r="Q75" s="25">
        <f t="shared" si="30"/>
        <v>0</v>
      </c>
      <c r="R75" s="25">
        <f t="shared" si="30"/>
        <v>1411.4</v>
      </c>
      <c r="S75" s="16">
        <f t="shared" si="29"/>
        <v>-5.599999999999909</v>
      </c>
    </row>
    <row r="76" spans="1:19" s="1" customFormat="1" ht="94.5" customHeight="1">
      <c r="A76" s="56"/>
      <c r="B76" s="11" t="s">
        <v>93</v>
      </c>
      <c r="C76" s="23" t="s">
        <v>34</v>
      </c>
      <c r="D76" s="23" t="s">
        <v>28</v>
      </c>
      <c r="E76" s="23" t="s">
        <v>24</v>
      </c>
      <c r="F76" s="24" t="s">
        <v>73</v>
      </c>
      <c r="G76" s="23" t="s">
        <v>59</v>
      </c>
      <c r="H76" s="25">
        <f>1360.9+26.1</f>
        <v>1387</v>
      </c>
      <c r="I76" s="26">
        <f aca="true" t="shared" si="31" ref="I76:Q76">I77</f>
        <v>0</v>
      </c>
      <c r="J76" s="27">
        <f t="shared" si="31"/>
        <v>0</v>
      </c>
      <c r="K76" s="27">
        <f t="shared" si="31"/>
        <v>0</v>
      </c>
      <c r="L76" s="27">
        <f t="shared" si="31"/>
        <v>0</v>
      </c>
      <c r="M76" s="27">
        <f t="shared" si="31"/>
        <v>0</v>
      </c>
      <c r="N76" s="27">
        <f t="shared" si="31"/>
        <v>0</v>
      </c>
      <c r="O76" s="27">
        <f t="shared" si="31"/>
        <v>0</v>
      </c>
      <c r="P76" s="27">
        <f t="shared" si="31"/>
        <v>0</v>
      </c>
      <c r="Q76" s="27">
        <f t="shared" si="31"/>
        <v>0</v>
      </c>
      <c r="R76" s="13">
        <v>1384.5</v>
      </c>
      <c r="S76" s="16">
        <f t="shared" si="29"/>
        <v>-2.5</v>
      </c>
    </row>
    <row r="77" spans="1:19" s="1" customFormat="1" ht="30">
      <c r="A77" s="56"/>
      <c r="B77" s="11" t="s">
        <v>469</v>
      </c>
      <c r="C77" s="23" t="s">
        <v>34</v>
      </c>
      <c r="D77" s="23" t="s">
        <v>28</v>
      </c>
      <c r="E77" s="23" t="s">
        <v>24</v>
      </c>
      <c r="F77" s="24" t="s">
        <v>73</v>
      </c>
      <c r="G77" s="23" t="s">
        <v>58</v>
      </c>
      <c r="H77" s="25">
        <v>30</v>
      </c>
      <c r="I77" s="12"/>
      <c r="J77" s="12"/>
      <c r="K77" s="12"/>
      <c r="L77" s="12"/>
      <c r="M77" s="12"/>
      <c r="N77" s="12"/>
      <c r="O77" s="12"/>
      <c r="P77" s="12"/>
      <c r="Q77" s="12"/>
      <c r="R77" s="13">
        <v>26.9</v>
      </c>
      <c r="S77" s="16">
        <f t="shared" si="29"/>
        <v>-3.1000000000000014</v>
      </c>
    </row>
    <row r="78" spans="1:19" s="1" customFormat="1" ht="26.25" customHeight="1">
      <c r="A78" s="56"/>
      <c r="B78" s="11" t="s">
        <v>90</v>
      </c>
      <c r="C78" s="23" t="s">
        <v>34</v>
      </c>
      <c r="D78" s="23" t="s">
        <v>28</v>
      </c>
      <c r="E78" s="23" t="s">
        <v>24</v>
      </c>
      <c r="F78" s="24" t="s">
        <v>87</v>
      </c>
      <c r="G78" s="20"/>
      <c r="H78" s="25">
        <f>H79</f>
        <v>810.6999999999999</v>
      </c>
      <c r="I78" s="25">
        <f aca="true" t="shared" si="32" ref="I78:R78">I79</f>
        <v>0</v>
      </c>
      <c r="J78" s="25">
        <f t="shared" si="32"/>
        <v>0</v>
      </c>
      <c r="K78" s="25">
        <f t="shared" si="32"/>
        <v>0</v>
      </c>
      <c r="L78" s="25">
        <f t="shared" si="32"/>
        <v>0</v>
      </c>
      <c r="M78" s="25">
        <f t="shared" si="32"/>
        <v>0</v>
      </c>
      <c r="N78" s="25">
        <f t="shared" si="32"/>
        <v>0</v>
      </c>
      <c r="O78" s="25">
        <f t="shared" si="32"/>
        <v>0</v>
      </c>
      <c r="P78" s="25">
        <f t="shared" si="32"/>
        <v>0</v>
      </c>
      <c r="Q78" s="25">
        <f t="shared" si="32"/>
        <v>0</v>
      </c>
      <c r="R78" s="25">
        <f t="shared" si="32"/>
        <v>743.8</v>
      </c>
      <c r="S78" s="16">
        <f t="shared" si="29"/>
        <v>-66.89999999999998</v>
      </c>
    </row>
    <row r="79" spans="1:19" s="1" customFormat="1" ht="15">
      <c r="A79" s="56"/>
      <c r="B79" s="11" t="s">
        <v>78</v>
      </c>
      <c r="C79" s="23" t="s">
        <v>34</v>
      </c>
      <c r="D79" s="23" t="s">
        <v>28</v>
      </c>
      <c r="E79" s="23" t="s">
        <v>24</v>
      </c>
      <c r="F79" s="24" t="s">
        <v>92</v>
      </c>
      <c r="G79" s="20"/>
      <c r="H79" s="25">
        <f>SUM(H80:H82)</f>
        <v>810.6999999999999</v>
      </c>
      <c r="I79" s="25">
        <f aca="true" t="shared" si="33" ref="I79:R79">SUM(I80:I82)</f>
        <v>0</v>
      </c>
      <c r="J79" s="25">
        <f t="shared" si="33"/>
        <v>0</v>
      </c>
      <c r="K79" s="25">
        <f t="shared" si="33"/>
        <v>0</v>
      </c>
      <c r="L79" s="25">
        <f t="shared" si="33"/>
        <v>0</v>
      </c>
      <c r="M79" s="25">
        <f t="shared" si="33"/>
        <v>0</v>
      </c>
      <c r="N79" s="25">
        <f t="shared" si="33"/>
        <v>0</v>
      </c>
      <c r="O79" s="25">
        <f t="shared" si="33"/>
        <v>0</v>
      </c>
      <c r="P79" s="25">
        <f t="shared" si="33"/>
        <v>0</v>
      </c>
      <c r="Q79" s="25">
        <f t="shared" si="33"/>
        <v>0</v>
      </c>
      <c r="R79" s="25">
        <f t="shared" si="33"/>
        <v>743.8</v>
      </c>
      <c r="S79" s="16">
        <f t="shared" si="29"/>
        <v>-66.89999999999998</v>
      </c>
    </row>
    <row r="80" spans="1:19" s="12" customFormat="1" ht="45">
      <c r="A80" s="56"/>
      <c r="B80" s="11" t="s">
        <v>441</v>
      </c>
      <c r="C80" s="23" t="s">
        <v>34</v>
      </c>
      <c r="D80" s="23" t="s">
        <v>28</v>
      </c>
      <c r="E80" s="23" t="s">
        <v>24</v>
      </c>
      <c r="F80" s="24" t="s">
        <v>473</v>
      </c>
      <c r="G80" s="23" t="s">
        <v>54</v>
      </c>
      <c r="H80" s="25">
        <v>20</v>
      </c>
      <c r="R80" s="13">
        <v>20</v>
      </c>
      <c r="S80" s="16">
        <f t="shared" si="29"/>
        <v>0</v>
      </c>
    </row>
    <row r="81" spans="1:19" s="12" customFormat="1" ht="60">
      <c r="A81" s="56"/>
      <c r="B81" s="11" t="s">
        <v>470</v>
      </c>
      <c r="C81" s="23" t="s">
        <v>34</v>
      </c>
      <c r="D81" s="23" t="s">
        <v>28</v>
      </c>
      <c r="E81" s="23" t="s">
        <v>24</v>
      </c>
      <c r="F81" s="24" t="s">
        <v>474</v>
      </c>
      <c r="G81" s="23" t="s">
        <v>58</v>
      </c>
      <c r="H81" s="25">
        <v>66.9</v>
      </c>
      <c r="R81" s="13">
        <v>0</v>
      </c>
      <c r="S81" s="16">
        <f t="shared" si="29"/>
        <v>-66.9</v>
      </c>
    </row>
    <row r="82" spans="1:19" s="1" customFormat="1" ht="60">
      <c r="A82" s="56"/>
      <c r="B82" s="11" t="s">
        <v>440</v>
      </c>
      <c r="C82" s="23" t="s">
        <v>34</v>
      </c>
      <c r="D82" s="23" t="s">
        <v>28</v>
      </c>
      <c r="E82" s="23" t="s">
        <v>24</v>
      </c>
      <c r="F82" s="24" t="s">
        <v>435</v>
      </c>
      <c r="G82" s="23" t="s">
        <v>58</v>
      </c>
      <c r="H82" s="25">
        <v>723.8</v>
      </c>
      <c r="I82" s="12"/>
      <c r="J82" s="12"/>
      <c r="K82" s="12"/>
      <c r="L82" s="12"/>
      <c r="M82" s="12"/>
      <c r="N82" s="12"/>
      <c r="O82" s="12"/>
      <c r="P82" s="12"/>
      <c r="Q82" s="12"/>
      <c r="R82" s="13">
        <v>723.8</v>
      </c>
      <c r="S82" s="16">
        <f t="shared" si="29"/>
        <v>0</v>
      </c>
    </row>
    <row r="83" spans="1:19" s="1" customFormat="1" ht="15">
      <c r="A83" s="56"/>
      <c r="B83" s="15" t="s">
        <v>3</v>
      </c>
      <c r="C83" s="17" t="s">
        <v>34</v>
      </c>
      <c r="D83" s="17" t="s">
        <v>26</v>
      </c>
      <c r="E83" s="17"/>
      <c r="F83" s="18"/>
      <c r="G83" s="17"/>
      <c r="H83" s="16">
        <f aca="true" t="shared" si="34" ref="H83:R83">H88+H93+H102+H109+H84</f>
        <v>15204.539999999999</v>
      </c>
      <c r="I83" s="16">
        <f t="shared" si="34"/>
        <v>0</v>
      </c>
      <c r="J83" s="16">
        <f t="shared" si="34"/>
        <v>0</v>
      </c>
      <c r="K83" s="16">
        <f t="shared" si="34"/>
        <v>0</v>
      </c>
      <c r="L83" s="16">
        <f t="shared" si="34"/>
        <v>0</v>
      </c>
      <c r="M83" s="16">
        <f t="shared" si="34"/>
        <v>0</v>
      </c>
      <c r="N83" s="16">
        <f t="shared" si="34"/>
        <v>0</v>
      </c>
      <c r="O83" s="16">
        <f t="shared" si="34"/>
        <v>0</v>
      </c>
      <c r="P83" s="16">
        <f t="shared" si="34"/>
        <v>0</v>
      </c>
      <c r="Q83" s="16">
        <f t="shared" si="34"/>
        <v>0</v>
      </c>
      <c r="R83" s="16">
        <f t="shared" si="34"/>
        <v>10755.84</v>
      </c>
      <c r="S83" s="16">
        <f t="shared" si="29"/>
        <v>-4448.699999999999</v>
      </c>
    </row>
    <row r="84" spans="1:19" s="2" customFormat="1" ht="15">
      <c r="A84" s="57"/>
      <c r="B84" s="19" t="s">
        <v>371</v>
      </c>
      <c r="C84" s="20" t="s">
        <v>34</v>
      </c>
      <c r="D84" s="20" t="s">
        <v>26</v>
      </c>
      <c r="E84" s="20" t="s">
        <v>25</v>
      </c>
      <c r="F84" s="21"/>
      <c r="G84" s="20"/>
      <c r="H84" s="22">
        <f>H85</f>
        <v>32.4</v>
      </c>
      <c r="I84" s="22">
        <f aca="true" t="shared" si="35" ref="I84:R86">I85</f>
        <v>0</v>
      </c>
      <c r="J84" s="22">
        <f t="shared" si="35"/>
        <v>0</v>
      </c>
      <c r="K84" s="22">
        <f t="shared" si="35"/>
        <v>0</v>
      </c>
      <c r="L84" s="22">
        <f t="shared" si="35"/>
        <v>0</v>
      </c>
      <c r="M84" s="22">
        <f t="shared" si="35"/>
        <v>0</v>
      </c>
      <c r="N84" s="22">
        <f t="shared" si="35"/>
        <v>0</v>
      </c>
      <c r="O84" s="22">
        <f t="shared" si="35"/>
        <v>0</v>
      </c>
      <c r="P84" s="22">
        <f t="shared" si="35"/>
        <v>0</v>
      </c>
      <c r="Q84" s="22">
        <f t="shared" si="35"/>
        <v>0</v>
      </c>
      <c r="R84" s="22">
        <f t="shared" si="35"/>
        <v>32.4</v>
      </c>
      <c r="S84" s="16">
        <f t="shared" si="29"/>
        <v>0</v>
      </c>
    </row>
    <row r="85" spans="1:19" s="1" customFormat="1" ht="19.5" customHeight="1">
      <c r="A85" s="56"/>
      <c r="B85" s="11" t="s">
        <v>90</v>
      </c>
      <c r="C85" s="23" t="s">
        <v>34</v>
      </c>
      <c r="D85" s="23" t="s">
        <v>26</v>
      </c>
      <c r="E85" s="23" t="s">
        <v>25</v>
      </c>
      <c r="F85" s="24" t="s">
        <v>87</v>
      </c>
      <c r="G85" s="17"/>
      <c r="H85" s="25">
        <f>H86</f>
        <v>32.4</v>
      </c>
      <c r="I85" s="25">
        <f t="shared" si="35"/>
        <v>0</v>
      </c>
      <c r="J85" s="25">
        <f t="shared" si="35"/>
        <v>0</v>
      </c>
      <c r="K85" s="25">
        <f t="shared" si="35"/>
        <v>0</v>
      </c>
      <c r="L85" s="25">
        <f t="shared" si="35"/>
        <v>0</v>
      </c>
      <c r="M85" s="25">
        <f t="shared" si="35"/>
        <v>0</v>
      </c>
      <c r="N85" s="25">
        <f t="shared" si="35"/>
        <v>0</v>
      </c>
      <c r="O85" s="25">
        <f t="shared" si="35"/>
        <v>0</v>
      </c>
      <c r="P85" s="25">
        <f t="shared" si="35"/>
        <v>0</v>
      </c>
      <c r="Q85" s="25">
        <f t="shared" si="35"/>
        <v>0</v>
      </c>
      <c r="R85" s="25">
        <f t="shared" si="35"/>
        <v>32.4</v>
      </c>
      <c r="S85" s="16">
        <f t="shared" si="29"/>
        <v>0</v>
      </c>
    </row>
    <row r="86" spans="1:19" s="1" customFormat="1" ht="15">
      <c r="A86" s="56"/>
      <c r="B86" s="11" t="s">
        <v>78</v>
      </c>
      <c r="C86" s="23" t="s">
        <v>34</v>
      </c>
      <c r="D86" s="23" t="s">
        <v>26</v>
      </c>
      <c r="E86" s="23" t="s">
        <v>25</v>
      </c>
      <c r="F86" s="24" t="s">
        <v>92</v>
      </c>
      <c r="G86" s="17"/>
      <c r="H86" s="25">
        <f>H87</f>
        <v>32.4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 t="shared" si="35"/>
        <v>0</v>
      </c>
      <c r="O86" s="25">
        <f t="shared" si="35"/>
        <v>0</v>
      </c>
      <c r="P86" s="25">
        <f t="shared" si="35"/>
        <v>0</v>
      </c>
      <c r="Q86" s="25">
        <f t="shared" si="35"/>
        <v>0</v>
      </c>
      <c r="R86" s="25">
        <f t="shared" si="35"/>
        <v>32.4</v>
      </c>
      <c r="S86" s="16">
        <f t="shared" si="29"/>
        <v>0</v>
      </c>
    </row>
    <row r="87" spans="1:19" s="12" customFormat="1" ht="45">
      <c r="A87" s="56"/>
      <c r="B87" s="11" t="s">
        <v>373</v>
      </c>
      <c r="C87" s="23" t="s">
        <v>34</v>
      </c>
      <c r="D87" s="23" t="s">
        <v>26</v>
      </c>
      <c r="E87" s="23" t="s">
        <v>25</v>
      </c>
      <c r="F87" s="24" t="s">
        <v>372</v>
      </c>
      <c r="G87" s="23" t="s">
        <v>55</v>
      </c>
      <c r="H87" s="25">
        <v>32.4</v>
      </c>
      <c r="I87" s="25"/>
      <c r="J87" s="25"/>
      <c r="K87" s="25"/>
      <c r="L87" s="25"/>
      <c r="M87" s="25"/>
      <c r="N87" s="25"/>
      <c r="O87" s="25"/>
      <c r="P87" s="25"/>
      <c r="Q87" s="25"/>
      <c r="R87" s="25">
        <v>32.4</v>
      </c>
      <c r="S87" s="16">
        <f t="shared" si="29"/>
        <v>0</v>
      </c>
    </row>
    <row r="88" spans="1:19" s="2" customFormat="1" ht="15">
      <c r="A88" s="57"/>
      <c r="B88" s="19" t="s">
        <v>67</v>
      </c>
      <c r="C88" s="20" t="s">
        <v>34</v>
      </c>
      <c r="D88" s="20" t="s">
        <v>26</v>
      </c>
      <c r="E88" s="20" t="s">
        <v>33</v>
      </c>
      <c r="F88" s="21"/>
      <c r="G88" s="20"/>
      <c r="H88" s="22">
        <f>H89</f>
        <v>1070.1</v>
      </c>
      <c r="I88" s="22">
        <f aca="true" t="shared" si="36" ref="I88:R89">I89</f>
        <v>0</v>
      </c>
      <c r="J88" s="22">
        <f t="shared" si="36"/>
        <v>0</v>
      </c>
      <c r="K88" s="22">
        <f t="shared" si="36"/>
        <v>0</v>
      </c>
      <c r="L88" s="22">
        <f t="shared" si="36"/>
        <v>0</v>
      </c>
      <c r="M88" s="22">
        <f t="shared" si="36"/>
        <v>0</v>
      </c>
      <c r="N88" s="22">
        <f t="shared" si="36"/>
        <v>0</v>
      </c>
      <c r="O88" s="22">
        <f t="shared" si="36"/>
        <v>0</v>
      </c>
      <c r="P88" s="22">
        <f t="shared" si="36"/>
        <v>0</v>
      </c>
      <c r="Q88" s="22">
        <f t="shared" si="36"/>
        <v>0</v>
      </c>
      <c r="R88" s="22">
        <f t="shared" si="36"/>
        <v>1064.3000000000002</v>
      </c>
      <c r="S88" s="16">
        <f t="shared" si="29"/>
        <v>-5.799999999999727</v>
      </c>
    </row>
    <row r="89" spans="1:19" s="2" customFormat="1" ht="30">
      <c r="A89" s="57"/>
      <c r="B89" s="11" t="s">
        <v>86</v>
      </c>
      <c r="C89" s="23" t="s">
        <v>34</v>
      </c>
      <c r="D89" s="23" t="s">
        <v>26</v>
      </c>
      <c r="E89" s="23" t="s">
        <v>33</v>
      </c>
      <c r="F89" s="24" t="s">
        <v>82</v>
      </c>
      <c r="G89" s="17"/>
      <c r="H89" s="25">
        <f>H90</f>
        <v>1070.1</v>
      </c>
      <c r="I89" s="25">
        <f t="shared" si="36"/>
        <v>0</v>
      </c>
      <c r="J89" s="25">
        <f t="shared" si="36"/>
        <v>0</v>
      </c>
      <c r="K89" s="25">
        <f t="shared" si="36"/>
        <v>0</v>
      </c>
      <c r="L89" s="25">
        <f t="shared" si="36"/>
        <v>0</v>
      </c>
      <c r="M89" s="25">
        <f t="shared" si="36"/>
        <v>0</v>
      </c>
      <c r="N89" s="25">
        <f t="shared" si="36"/>
        <v>0</v>
      </c>
      <c r="O89" s="25">
        <f t="shared" si="36"/>
        <v>0</v>
      </c>
      <c r="P89" s="25">
        <f t="shared" si="36"/>
        <v>0</v>
      </c>
      <c r="Q89" s="25">
        <f t="shared" si="36"/>
        <v>0</v>
      </c>
      <c r="R89" s="25">
        <f t="shared" si="36"/>
        <v>1064.3000000000002</v>
      </c>
      <c r="S89" s="16">
        <f t="shared" si="29"/>
        <v>-5.799999999999727</v>
      </c>
    </row>
    <row r="90" spans="1:19" s="2" customFormat="1" ht="15">
      <c r="A90" s="57"/>
      <c r="B90" s="11" t="s">
        <v>78</v>
      </c>
      <c r="C90" s="23" t="s">
        <v>80</v>
      </c>
      <c r="D90" s="23" t="s">
        <v>26</v>
      </c>
      <c r="E90" s="23" t="s">
        <v>33</v>
      </c>
      <c r="F90" s="24" t="s">
        <v>83</v>
      </c>
      <c r="G90" s="17"/>
      <c r="H90" s="25">
        <f>H91+H92</f>
        <v>1070.1</v>
      </c>
      <c r="I90" s="25">
        <f aca="true" t="shared" si="37" ref="I90:R90">I91+I92</f>
        <v>0</v>
      </c>
      <c r="J90" s="25">
        <f t="shared" si="37"/>
        <v>0</v>
      </c>
      <c r="K90" s="25">
        <f t="shared" si="37"/>
        <v>0</v>
      </c>
      <c r="L90" s="25">
        <f t="shared" si="37"/>
        <v>0</v>
      </c>
      <c r="M90" s="25">
        <f t="shared" si="37"/>
        <v>0</v>
      </c>
      <c r="N90" s="25">
        <f t="shared" si="37"/>
        <v>0</v>
      </c>
      <c r="O90" s="25">
        <f t="shared" si="37"/>
        <v>0</v>
      </c>
      <c r="P90" s="25">
        <f t="shared" si="37"/>
        <v>0</v>
      </c>
      <c r="Q90" s="25">
        <f t="shared" si="37"/>
        <v>0</v>
      </c>
      <c r="R90" s="25">
        <f t="shared" si="37"/>
        <v>1064.3000000000002</v>
      </c>
      <c r="S90" s="16">
        <f t="shared" si="29"/>
        <v>-5.799999999999727</v>
      </c>
    </row>
    <row r="91" spans="1:19" s="1" customFormat="1" ht="92.25" customHeight="1">
      <c r="A91" s="56"/>
      <c r="B91" s="11" t="s">
        <v>93</v>
      </c>
      <c r="C91" s="23" t="s">
        <v>34</v>
      </c>
      <c r="D91" s="23" t="s">
        <v>26</v>
      </c>
      <c r="E91" s="23" t="s">
        <v>33</v>
      </c>
      <c r="F91" s="24" t="s">
        <v>73</v>
      </c>
      <c r="G91" s="23" t="s">
        <v>59</v>
      </c>
      <c r="H91" s="25">
        <f>1084.3-32.2</f>
        <v>1052.1</v>
      </c>
      <c r="I91" s="62"/>
      <c r="J91" s="62"/>
      <c r="K91" s="62"/>
      <c r="L91" s="62"/>
      <c r="M91" s="62"/>
      <c r="N91" s="62"/>
      <c r="O91" s="62"/>
      <c r="P91" s="62"/>
      <c r="Q91" s="62"/>
      <c r="R91" s="13">
        <v>1050.4</v>
      </c>
      <c r="S91" s="16">
        <f t="shared" si="29"/>
        <v>-1.699999999999818</v>
      </c>
    </row>
    <row r="92" spans="1:19" s="1" customFormat="1" ht="60">
      <c r="A92" s="56"/>
      <c r="B92" s="11" t="s">
        <v>94</v>
      </c>
      <c r="C92" s="23" t="s">
        <v>34</v>
      </c>
      <c r="D92" s="23" t="s">
        <v>26</v>
      </c>
      <c r="E92" s="23" t="s">
        <v>33</v>
      </c>
      <c r="F92" s="24" t="s">
        <v>73</v>
      </c>
      <c r="G92" s="23" t="s">
        <v>58</v>
      </c>
      <c r="H92" s="25">
        <v>18</v>
      </c>
      <c r="I92" s="62"/>
      <c r="J92" s="62"/>
      <c r="K92" s="62"/>
      <c r="L92" s="62"/>
      <c r="M92" s="62"/>
      <c r="N92" s="62"/>
      <c r="O92" s="62"/>
      <c r="P92" s="62"/>
      <c r="Q92" s="62"/>
      <c r="R92" s="13">
        <v>13.9</v>
      </c>
      <c r="S92" s="16">
        <f t="shared" si="29"/>
        <v>-4.1</v>
      </c>
    </row>
    <row r="93" spans="1:19" s="2" customFormat="1" ht="15">
      <c r="A93" s="57"/>
      <c r="B93" s="19" t="s">
        <v>62</v>
      </c>
      <c r="C93" s="20" t="s">
        <v>34</v>
      </c>
      <c r="D93" s="20" t="s">
        <v>26</v>
      </c>
      <c r="E93" s="20" t="s">
        <v>31</v>
      </c>
      <c r="F93" s="21"/>
      <c r="G93" s="20"/>
      <c r="H93" s="22">
        <f>H94+H98</f>
        <v>3028.94</v>
      </c>
      <c r="I93" s="22">
        <f aca="true" t="shared" si="38" ref="I93:R94">I94</f>
        <v>0</v>
      </c>
      <c r="J93" s="22">
        <f t="shared" si="38"/>
        <v>0</v>
      </c>
      <c r="K93" s="22">
        <f t="shared" si="38"/>
        <v>0</v>
      </c>
      <c r="L93" s="22">
        <f t="shared" si="38"/>
        <v>0</v>
      </c>
      <c r="M93" s="22">
        <f t="shared" si="38"/>
        <v>0</v>
      </c>
      <c r="N93" s="22">
        <f t="shared" si="38"/>
        <v>0</v>
      </c>
      <c r="O93" s="22">
        <f t="shared" si="38"/>
        <v>0</v>
      </c>
      <c r="P93" s="22">
        <f t="shared" si="38"/>
        <v>0</v>
      </c>
      <c r="Q93" s="22">
        <f t="shared" si="38"/>
        <v>0</v>
      </c>
      <c r="R93" s="22">
        <f>R94+R98</f>
        <v>3028.7400000000002</v>
      </c>
      <c r="S93" s="16">
        <f t="shared" si="29"/>
        <v>-0.1999999999998181</v>
      </c>
    </row>
    <row r="94" spans="1:19" s="2" customFormat="1" ht="25.5" customHeight="1">
      <c r="A94" s="57"/>
      <c r="B94" s="11" t="s">
        <v>90</v>
      </c>
      <c r="C94" s="23" t="s">
        <v>34</v>
      </c>
      <c r="D94" s="23" t="s">
        <v>26</v>
      </c>
      <c r="E94" s="23" t="s">
        <v>31</v>
      </c>
      <c r="F94" s="24" t="s">
        <v>87</v>
      </c>
      <c r="G94" s="20"/>
      <c r="H94" s="67">
        <f>H95</f>
        <v>2945.4</v>
      </c>
      <c r="I94" s="67">
        <f t="shared" si="38"/>
        <v>0</v>
      </c>
      <c r="J94" s="67">
        <f t="shared" si="38"/>
        <v>0</v>
      </c>
      <c r="K94" s="67">
        <f t="shared" si="38"/>
        <v>0</v>
      </c>
      <c r="L94" s="67">
        <f t="shared" si="38"/>
        <v>0</v>
      </c>
      <c r="M94" s="67">
        <f t="shared" si="38"/>
        <v>0</v>
      </c>
      <c r="N94" s="67">
        <f t="shared" si="38"/>
        <v>0</v>
      </c>
      <c r="O94" s="67">
        <f t="shared" si="38"/>
        <v>0</v>
      </c>
      <c r="P94" s="67">
        <f t="shared" si="38"/>
        <v>0</v>
      </c>
      <c r="Q94" s="67">
        <f t="shared" si="38"/>
        <v>0</v>
      </c>
      <c r="R94" s="67">
        <f t="shared" si="38"/>
        <v>2945.2000000000003</v>
      </c>
      <c r="S94" s="16">
        <f t="shared" si="29"/>
        <v>-0.1999999999998181</v>
      </c>
    </row>
    <row r="95" spans="1:19" s="2" customFormat="1" ht="15">
      <c r="A95" s="57"/>
      <c r="B95" s="11" t="s">
        <v>78</v>
      </c>
      <c r="C95" s="23" t="s">
        <v>34</v>
      </c>
      <c r="D95" s="23" t="s">
        <v>26</v>
      </c>
      <c r="E95" s="23" t="s">
        <v>31</v>
      </c>
      <c r="F95" s="24" t="s">
        <v>92</v>
      </c>
      <c r="G95" s="20"/>
      <c r="H95" s="67">
        <f>H96+H97</f>
        <v>2945.4</v>
      </c>
      <c r="I95" s="67">
        <f aca="true" t="shared" si="39" ref="I95:R95">I96+I97</f>
        <v>0</v>
      </c>
      <c r="J95" s="67">
        <f t="shared" si="39"/>
        <v>0</v>
      </c>
      <c r="K95" s="67">
        <f t="shared" si="39"/>
        <v>0</v>
      </c>
      <c r="L95" s="67">
        <f t="shared" si="39"/>
        <v>0</v>
      </c>
      <c r="M95" s="67">
        <f t="shared" si="39"/>
        <v>0</v>
      </c>
      <c r="N95" s="67">
        <f t="shared" si="39"/>
        <v>0</v>
      </c>
      <c r="O95" s="67">
        <f t="shared" si="39"/>
        <v>0</v>
      </c>
      <c r="P95" s="67">
        <f t="shared" si="39"/>
        <v>0</v>
      </c>
      <c r="Q95" s="67">
        <f t="shared" si="39"/>
        <v>0</v>
      </c>
      <c r="R95" s="67">
        <f t="shared" si="39"/>
        <v>2945.2000000000003</v>
      </c>
      <c r="S95" s="16">
        <f t="shared" si="29"/>
        <v>-0.1999999999998181</v>
      </c>
    </row>
    <row r="96" spans="1:19" s="1" customFormat="1" ht="57.75" customHeight="1">
      <c r="A96" s="56"/>
      <c r="B96" s="11" t="s">
        <v>108</v>
      </c>
      <c r="C96" s="23" t="s">
        <v>34</v>
      </c>
      <c r="D96" s="23" t="s">
        <v>26</v>
      </c>
      <c r="E96" s="23" t="s">
        <v>31</v>
      </c>
      <c r="F96" s="24" t="s">
        <v>107</v>
      </c>
      <c r="G96" s="23" t="s">
        <v>54</v>
      </c>
      <c r="H96" s="25">
        <f>2963-274.5+0.1+232</f>
        <v>2920.6</v>
      </c>
      <c r="I96" s="62"/>
      <c r="J96" s="62"/>
      <c r="K96" s="62"/>
      <c r="L96" s="62"/>
      <c r="M96" s="62"/>
      <c r="N96" s="62"/>
      <c r="O96" s="62"/>
      <c r="P96" s="62"/>
      <c r="Q96" s="62"/>
      <c r="R96" s="13">
        <v>2920.4</v>
      </c>
      <c r="S96" s="16">
        <f t="shared" si="29"/>
        <v>-0.1999999999998181</v>
      </c>
    </row>
    <row r="97" spans="1:19" s="1" customFormat="1" ht="61.5" customHeight="1">
      <c r="A97" s="56"/>
      <c r="B97" s="11" t="s">
        <v>449</v>
      </c>
      <c r="C97" s="23" t="s">
        <v>34</v>
      </c>
      <c r="D97" s="23" t="s">
        <v>26</v>
      </c>
      <c r="E97" s="23" t="s">
        <v>31</v>
      </c>
      <c r="F97" s="24" t="s">
        <v>448</v>
      </c>
      <c r="G97" s="23" t="s">
        <v>58</v>
      </c>
      <c r="H97" s="25">
        <v>24.8</v>
      </c>
      <c r="I97" s="62"/>
      <c r="J97" s="62"/>
      <c r="K97" s="62"/>
      <c r="L97" s="62"/>
      <c r="M97" s="62"/>
      <c r="N97" s="62"/>
      <c r="O97" s="62"/>
      <c r="P97" s="62"/>
      <c r="Q97" s="62"/>
      <c r="R97" s="13">
        <v>24.8</v>
      </c>
      <c r="S97" s="16">
        <f t="shared" si="29"/>
        <v>0</v>
      </c>
    </row>
    <row r="98" spans="1:19" s="1" customFormat="1" ht="30.75" customHeight="1">
      <c r="A98" s="56"/>
      <c r="B98" s="98" t="s">
        <v>454</v>
      </c>
      <c r="C98" s="23" t="s">
        <v>34</v>
      </c>
      <c r="D98" s="23" t="s">
        <v>26</v>
      </c>
      <c r="E98" s="23" t="s">
        <v>31</v>
      </c>
      <c r="F98" s="24" t="s">
        <v>458</v>
      </c>
      <c r="G98" s="23"/>
      <c r="H98" s="25">
        <f>H99</f>
        <v>83.53999999999999</v>
      </c>
      <c r="I98" s="25">
        <f aca="true" t="shared" si="40" ref="I98:R98">I99</f>
        <v>0</v>
      </c>
      <c r="J98" s="25">
        <f t="shared" si="40"/>
        <v>0</v>
      </c>
      <c r="K98" s="25">
        <f t="shared" si="40"/>
        <v>0</v>
      </c>
      <c r="L98" s="25">
        <f t="shared" si="40"/>
        <v>0</v>
      </c>
      <c r="M98" s="25">
        <f t="shared" si="40"/>
        <v>0</v>
      </c>
      <c r="N98" s="25">
        <f t="shared" si="40"/>
        <v>0</v>
      </c>
      <c r="O98" s="25">
        <f t="shared" si="40"/>
        <v>0</v>
      </c>
      <c r="P98" s="25">
        <f t="shared" si="40"/>
        <v>0</v>
      </c>
      <c r="Q98" s="25">
        <f t="shared" si="40"/>
        <v>0</v>
      </c>
      <c r="R98" s="25">
        <f t="shared" si="40"/>
        <v>83.53999999999999</v>
      </c>
      <c r="S98" s="16">
        <f t="shared" si="29"/>
        <v>0</v>
      </c>
    </row>
    <row r="99" spans="1:19" s="1" customFormat="1" ht="48.75" customHeight="1">
      <c r="A99" s="56"/>
      <c r="B99" s="98" t="s">
        <v>455</v>
      </c>
      <c r="C99" s="23" t="s">
        <v>34</v>
      </c>
      <c r="D99" s="23" t="s">
        <v>26</v>
      </c>
      <c r="E99" s="23" t="s">
        <v>31</v>
      </c>
      <c r="F99" s="24" t="s">
        <v>459</v>
      </c>
      <c r="G99" s="23"/>
      <c r="H99" s="25">
        <f>H100+H101</f>
        <v>83.53999999999999</v>
      </c>
      <c r="I99" s="25">
        <f aca="true" t="shared" si="41" ref="I99:R99">I100+I101</f>
        <v>0</v>
      </c>
      <c r="J99" s="25">
        <f t="shared" si="41"/>
        <v>0</v>
      </c>
      <c r="K99" s="25">
        <f t="shared" si="41"/>
        <v>0</v>
      </c>
      <c r="L99" s="25">
        <f t="shared" si="41"/>
        <v>0</v>
      </c>
      <c r="M99" s="25">
        <f t="shared" si="41"/>
        <v>0</v>
      </c>
      <c r="N99" s="25">
        <f t="shared" si="41"/>
        <v>0</v>
      </c>
      <c r="O99" s="25">
        <f t="shared" si="41"/>
        <v>0</v>
      </c>
      <c r="P99" s="25">
        <f t="shared" si="41"/>
        <v>0</v>
      </c>
      <c r="Q99" s="25">
        <f t="shared" si="41"/>
        <v>0</v>
      </c>
      <c r="R99" s="25">
        <f t="shared" si="41"/>
        <v>83.53999999999999</v>
      </c>
      <c r="S99" s="16">
        <f t="shared" si="29"/>
        <v>0</v>
      </c>
    </row>
    <row r="100" spans="1:19" s="1" customFormat="1" ht="67.5" customHeight="1">
      <c r="A100" s="56"/>
      <c r="B100" s="98" t="s">
        <v>457</v>
      </c>
      <c r="C100" s="23" t="s">
        <v>34</v>
      </c>
      <c r="D100" s="23" t="s">
        <v>26</v>
      </c>
      <c r="E100" s="23" t="s">
        <v>31</v>
      </c>
      <c r="F100" s="99" t="s">
        <v>460</v>
      </c>
      <c r="G100" s="23" t="s">
        <v>58</v>
      </c>
      <c r="H100" s="25">
        <f>58.48</f>
        <v>58.48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13">
        <v>58.48</v>
      </c>
      <c r="S100" s="16">
        <f t="shared" si="29"/>
        <v>0</v>
      </c>
    </row>
    <row r="101" spans="1:19" s="1" customFormat="1" ht="60.75" customHeight="1">
      <c r="A101" s="56"/>
      <c r="B101" s="98" t="s">
        <v>456</v>
      </c>
      <c r="C101" s="23" t="s">
        <v>34</v>
      </c>
      <c r="D101" s="23" t="s">
        <v>26</v>
      </c>
      <c r="E101" s="23" t="s">
        <v>31</v>
      </c>
      <c r="F101" s="99" t="s">
        <v>461</v>
      </c>
      <c r="G101" s="23" t="s">
        <v>58</v>
      </c>
      <c r="H101" s="25">
        <f>25.06</f>
        <v>25.06</v>
      </c>
      <c r="I101" s="62"/>
      <c r="J101" s="62"/>
      <c r="K101" s="62"/>
      <c r="L101" s="62"/>
      <c r="M101" s="62"/>
      <c r="N101" s="62"/>
      <c r="O101" s="62"/>
      <c r="P101" s="62"/>
      <c r="Q101" s="62"/>
      <c r="R101" s="13">
        <v>25.06</v>
      </c>
      <c r="S101" s="16">
        <f t="shared" si="29"/>
        <v>0</v>
      </c>
    </row>
    <row r="102" spans="1:19" s="58" customFormat="1" ht="15">
      <c r="A102" s="57"/>
      <c r="B102" s="19" t="s">
        <v>61</v>
      </c>
      <c r="C102" s="20" t="s">
        <v>34</v>
      </c>
      <c r="D102" s="20" t="s">
        <v>26</v>
      </c>
      <c r="E102" s="20" t="s">
        <v>24</v>
      </c>
      <c r="F102" s="21"/>
      <c r="G102" s="20"/>
      <c r="H102" s="22">
        <f>H103</f>
        <v>10744.4</v>
      </c>
      <c r="I102" s="22">
        <f aca="true" t="shared" si="42" ref="I102:R102">I103</f>
        <v>0</v>
      </c>
      <c r="J102" s="22">
        <f t="shared" si="42"/>
        <v>0</v>
      </c>
      <c r="K102" s="22">
        <f t="shared" si="42"/>
        <v>0</v>
      </c>
      <c r="L102" s="22">
        <f t="shared" si="42"/>
        <v>0</v>
      </c>
      <c r="M102" s="22">
        <f t="shared" si="42"/>
        <v>0</v>
      </c>
      <c r="N102" s="22">
        <f t="shared" si="42"/>
        <v>0</v>
      </c>
      <c r="O102" s="22">
        <f t="shared" si="42"/>
        <v>0</v>
      </c>
      <c r="P102" s="22">
        <f t="shared" si="42"/>
        <v>0</v>
      </c>
      <c r="Q102" s="22">
        <f t="shared" si="42"/>
        <v>0</v>
      </c>
      <c r="R102" s="22">
        <f t="shared" si="42"/>
        <v>6331</v>
      </c>
      <c r="S102" s="16">
        <f t="shared" si="29"/>
        <v>-4413.4</v>
      </c>
    </row>
    <row r="103" spans="1:19" s="58" customFormat="1" ht="45">
      <c r="A103" s="57"/>
      <c r="B103" s="11" t="s">
        <v>423</v>
      </c>
      <c r="C103" s="32" t="s">
        <v>34</v>
      </c>
      <c r="D103" s="32" t="s">
        <v>26</v>
      </c>
      <c r="E103" s="32" t="s">
        <v>24</v>
      </c>
      <c r="F103" s="24" t="s">
        <v>303</v>
      </c>
      <c r="G103" s="23" t="s">
        <v>424</v>
      </c>
      <c r="H103" s="22">
        <f aca="true" t="shared" si="43" ref="H103:R103">H104</f>
        <v>10744.4</v>
      </c>
      <c r="I103" s="22">
        <f t="shared" si="43"/>
        <v>0</v>
      </c>
      <c r="J103" s="22">
        <f t="shared" si="43"/>
        <v>0</v>
      </c>
      <c r="K103" s="22">
        <f t="shared" si="43"/>
        <v>0</v>
      </c>
      <c r="L103" s="22">
        <f t="shared" si="43"/>
        <v>0</v>
      </c>
      <c r="M103" s="22">
        <f t="shared" si="43"/>
        <v>0</v>
      </c>
      <c r="N103" s="22">
        <f t="shared" si="43"/>
        <v>0</v>
      </c>
      <c r="O103" s="22">
        <f t="shared" si="43"/>
        <v>0</v>
      </c>
      <c r="P103" s="22">
        <f t="shared" si="43"/>
        <v>0</v>
      </c>
      <c r="Q103" s="22">
        <f t="shared" si="43"/>
        <v>0</v>
      </c>
      <c r="R103" s="22">
        <f t="shared" si="43"/>
        <v>6331</v>
      </c>
      <c r="S103" s="16">
        <f t="shared" si="29"/>
        <v>-4413.4</v>
      </c>
    </row>
    <row r="104" spans="1:19" s="58" customFormat="1" ht="15">
      <c r="A104" s="57"/>
      <c r="B104" s="11" t="s">
        <v>425</v>
      </c>
      <c r="C104" s="32" t="s">
        <v>34</v>
      </c>
      <c r="D104" s="32" t="s">
        <v>26</v>
      </c>
      <c r="E104" s="32" t="s">
        <v>24</v>
      </c>
      <c r="F104" s="24" t="s">
        <v>426</v>
      </c>
      <c r="G104" s="23" t="s">
        <v>424</v>
      </c>
      <c r="H104" s="22">
        <f>H107+H105+H106</f>
        <v>10744.4</v>
      </c>
      <c r="I104" s="22">
        <f aca="true" t="shared" si="44" ref="I104:R104">I107+I105+I106</f>
        <v>0</v>
      </c>
      <c r="J104" s="22">
        <f t="shared" si="44"/>
        <v>0</v>
      </c>
      <c r="K104" s="22">
        <f t="shared" si="44"/>
        <v>0</v>
      </c>
      <c r="L104" s="22">
        <f t="shared" si="44"/>
        <v>0</v>
      </c>
      <c r="M104" s="22">
        <f t="shared" si="44"/>
        <v>0</v>
      </c>
      <c r="N104" s="22">
        <f t="shared" si="44"/>
        <v>0</v>
      </c>
      <c r="O104" s="22">
        <f t="shared" si="44"/>
        <v>0</v>
      </c>
      <c r="P104" s="22">
        <f t="shared" si="44"/>
        <v>0</v>
      </c>
      <c r="Q104" s="22">
        <f t="shared" si="44"/>
        <v>0</v>
      </c>
      <c r="R104" s="22">
        <f t="shared" si="44"/>
        <v>6331</v>
      </c>
      <c r="S104" s="16">
        <f t="shared" si="29"/>
        <v>-4413.4</v>
      </c>
    </row>
    <row r="105" spans="1:19" s="58" customFormat="1" ht="60">
      <c r="A105" s="57"/>
      <c r="B105" s="11" t="s">
        <v>431</v>
      </c>
      <c r="C105" s="32" t="s">
        <v>34</v>
      </c>
      <c r="D105" s="32" t="s">
        <v>26</v>
      </c>
      <c r="E105" s="32" t="s">
        <v>24</v>
      </c>
      <c r="F105" s="24" t="s">
        <v>428</v>
      </c>
      <c r="G105" s="23" t="s">
        <v>58</v>
      </c>
      <c r="H105" s="25">
        <f>8252.9+1840.8</f>
        <v>10093.699999999999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5">
        <v>5680.3</v>
      </c>
      <c r="S105" s="16">
        <f t="shared" si="29"/>
        <v>-4413.399999999999</v>
      </c>
    </row>
    <row r="106" spans="1:19" s="58" customFormat="1" ht="60">
      <c r="A106" s="57"/>
      <c r="B106" s="11" t="s">
        <v>436</v>
      </c>
      <c r="C106" s="32" t="s">
        <v>34</v>
      </c>
      <c r="D106" s="32" t="s">
        <v>26</v>
      </c>
      <c r="E106" s="32" t="s">
        <v>24</v>
      </c>
      <c r="F106" s="24" t="s">
        <v>437</v>
      </c>
      <c r="G106" s="23" t="s">
        <v>58</v>
      </c>
      <c r="H106" s="25">
        <v>650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5">
        <v>650</v>
      </c>
      <c r="S106" s="16">
        <f t="shared" si="29"/>
        <v>0</v>
      </c>
    </row>
    <row r="107" spans="1:19" s="58" customFormat="1" ht="60">
      <c r="A107" s="57"/>
      <c r="B107" s="11" t="s">
        <v>429</v>
      </c>
      <c r="C107" s="32" t="s">
        <v>34</v>
      </c>
      <c r="D107" s="32" t="s">
        <v>26</v>
      </c>
      <c r="E107" s="32" t="s">
        <v>24</v>
      </c>
      <c r="F107" s="24" t="s">
        <v>430</v>
      </c>
      <c r="G107" s="23" t="s">
        <v>58</v>
      </c>
      <c r="H107" s="25">
        <v>0.7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5">
        <v>0.7</v>
      </c>
      <c r="S107" s="16">
        <f t="shared" si="29"/>
        <v>0</v>
      </c>
    </row>
    <row r="108" spans="1:19" s="1" customFormat="1" ht="76.5" customHeight="1">
      <c r="A108" s="56"/>
      <c r="B108" s="11" t="s">
        <v>382</v>
      </c>
      <c r="C108" s="23" t="s">
        <v>34</v>
      </c>
      <c r="D108" s="23" t="s">
        <v>26</v>
      </c>
      <c r="E108" s="23" t="s">
        <v>24</v>
      </c>
      <c r="F108" s="24" t="s">
        <v>109</v>
      </c>
      <c r="G108" s="23" t="s">
        <v>58</v>
      </c>
      <c r="H108" s="25">
        <f>9892.5+460.1-2099-8253.6</f>
        <v>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3">
        <v>0</v>
      </c>
      <c r="S108" s="16">
        <f t="shared" si="29"/>
        <v>0</v>
      </c>
    </row>
    <row r="109" spans="1:19" s="1" customFormat="1" ht="20.25" customHeight="1">
      <c r="A109" s="56"/>
      <c r="B109" s="19" t="s">
        <v>304</v>
      </c>
      <c r="C109" s="20" t="s">
        <v>34</v>
      </c>
      <c r="D109" s="20" t="s">
        <v>26</v>
      </c>
      <c r="E109" s="20" t="s">
        <v>303</v>
      </c>
      <c r="F109" s="21"/>
      <c r="G109" s="20"/>
      <c r="H109" s="22">
        <f>H110+H114</f>
        <v>328.7</v>
      </c>
      <c r="I109" s="22">
        <f aca="true" t="shared" si="45" ref="I109:R109">I110+I114</f>
        <v>0</v>
      </c>
      <c r="J109" s="22">
        <f t="shared" si="45"/>
        <v>0</v>
      </c>
      <c r="K109" s="22">
        <f t="shared" si="45"/>
        <v>0</v>
      </c>
      <c r="L109" s="22">
        <f t="shared" si="45"/>
        <v>0</v>
      </c>
      <c r="M109" s="22">
        <f t="shared" si="45"/>
        <v>0</v>
      </c>
      <c r="N109" s="22">
        <f t="shared" si="45"/>
        <v>0</v>
      </c>
      <c r="O109" s="22">
        <f t="shared" si="45"/>
        <v>0</v>
      </c>
      <c r="P109" s="22">
        <f t="shared" si="45"/>
        <v>0</v>
      </c>
      <c r="Q109" s="22">
        <f t="shared" si="45"/>
        <v>0</v>
      </c>
      <c r="R109" s="22">
        <f t="shared" si="45"/>
        <v>299.4</v>
      </c>
      <c r="S109" s="16">
        <f t="shared" si="29"/>
        <v>-29.30000000000001</v>
      </c>
    </row>
    <row r="110" spans="1:19" s="1" customFormat="1" ht="27" customHeight="1">
      <c r="A110" s="56"/>
      <c r="B110" s="11" t="s">
        <v>300</v>
      </c>
      <c r="C110" s="23" t="s">
        <v>34</v>
      </c>
      <c r="D110" s="23" t="s">
        <v>26</v>
      </c>
      <c r="E110" s="23" t="s">
        <v>303</v>
      </c>
      <c r="F110" s="24" t="s">
        <v>299</v>
      </c>
      <c r="G110" s="23"/>
      <c r="H110" s="25">
        <f>H111</f>
        <v>45</v>
      </c>
      <c r="I110" s="25">
        <f aca="true" t="shared" si="46" ref="I110:R110">I111</f>
        <v>0</v>
      </c>
      <c r="J110" s="25">
        <f t="shared" si="46"/>
        <v>0</v>
      </c>
      <c r="K110" s="25">
        <f t="shared" si="46"/>
        <v>0</v>
      </c>
      <c r="L110" s="25">
        <f t="shared" si="46"/>
        <v>0</v>
      </c>
      <c r="M110" s="25">
        <f t="shared" si="46"/>
        <v>0</v>
      </c>
      <c r="N110" s="25">
        <f t="shared" si="46"/>
        <v>0</v>
      </c>
      <c r="O110" s="25">
        <f t="shared" si="46"/>
        <v>0</v>
      </c>
      <c r="P110" s="25">
        <f t="shared" si="46"/>
        <v>0</v>
      </c>
      <c r="Q110" s="25">
        <f t="shared" si="46"/>
        <v>0</v>
      </c>
      <c r="R110" s="25">
        <f t="shared" si="46"/>
        <v>45</v>
      </c>
      <c r="S110" s="16">
        <f t="shared" si="29"/>
        <v>0</v>
      </c>
    </row>
    <row r="111" spans="1:19" s="1" customFormat="1" ht="20.25" customHeight="1">
      <c r="A111" s="56"/>
      <c r="B111" s="11" t="s">
        <v>301</v>
      </c>
      <c r="C111" s="23" t="s">
        <v>34</v>
      </c>
      <c r="D111" s="23" t="s">
        <v>26</v>
      </c>
      <c r="E111" s="23" t="s">
        <v>303</v>
      </c>
      <c r="F111" s="24" t="s">
        <v>298</v>
      </c>
      <c r="G111" s="23"/>
      <c r="H111" s="25">
        <f>H112+H113</f>
        <v>45</v>
      </c>
      <c r="I111" s="25">
        <f aca="true" t="shared" si="47" ref="I111:R111">I112+I113</f>
        <v>0</v>
      </c>
      <c r="J111" s="25">
        <f t="shared" si="47"/>
        <v>0</v>
      </c>
      <c r="K111" s="25">
        <f t="shared" si="47"/>
        <v>0</v>
      </c>
      <c r="L111" s="25">
        <f t="shared" si="47"/>
        <v>0</v>
      </c>
      <c r="M111" s="25">
        <f t="shared" si="47"/>
        <v>0</v>
      </c>
      <c r="N111" s="25">
        <f t="shared" si="47"/>
        <v>0</v>
      </c>
      <c r="O111" s="25">
        <f t="shared" si="47"/>
        <v>0</v>
      </c>
      <c r="P111" s="25">
        <f t="shared" si="47"/>
        <v>0</v>
      </c>
      <c r="Q111" s="25">
        <f t="shared" si="47"/>
        <v>0</v>
      </c>
      <c r="R111" s="25">
        <f t="shared" si="47"/>
        <v>45</v>
      </c>
      <c r="S111" s="16">
        <f t="shared" si="29"/>
        <v>0</v>
      </c>
    </row>
    <row r="112" spans="1:19" s="1" customFormat="1" ht="90.75" customHeight="1">
      <c r="A112" s="56"/>
      <c r="B112" s="11" t="s">
        <v>311</v>
      </c>
      <c r="C112" s="23" t="s">
        <v>34</v>
      </c>
      <c r="D112" s="23" t="s">
        <v>26</v>
      </c>
      <c r="E112" s="23" t="s">
        <v>303</v>
      </c>
      <c r="F112" s="24" t="s">
        <v>305</v>
      </c>
      <c r="G112" s="23" t="s">
        <v>58</v>
      </c>
      <c r="H112" s="25">
        <v>19.6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3">
        <v>19.6</v>
      </c>
      <c r="S112" s="16">
        <f t="shared" si="29"/>
        <v>0</v>
      </c>
    </row>
    <row r="113" spans="1:19" s="1" customFormat="1" ht="48.75" customHeight="1">
      <c r="A113" s="56"/>
      <c r="B113" s="68" t="s">
        <v>446</v>
      </c>
      <c r="C113" s="23" t="s">
        <v>34</v>
      </c>
      <c r="D113" s="23" t="s">
        <v>26</v>
      </c>
      <c r="E113" s="23" t="s">
        <v>303</v>
      </c>
      <c r="F113" s="24" t="s">
        <v>445</v>
      </c>
      <c r="G113" s="23" t="s">
        <v>58</v>
      </c>
      <c r="H113" s="25">
        <v>25.4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3">
        <v>25.4</v>
      </c>
      <c r="S113" s="16">
        <f t="shared" si="29"/>
        <v>0</v>
      </c>
    </row>
    <row r="114" spans="1:19" s="1" customFormat="1" ht="23.25" customHeight="1">
      <c r="A114" s="56"/>
      <c r="B114" s="11" t="s">
        <v>90</v>
      </c>
      <c r="C114" s="23" t="s">
        <v>34</v>
      </c>
      <c r="D114" s="23" t="s">
        <v>26</v>
      </c>
      <c r="E114" s="23" t="s">
        <v>303</v>
      </c>
      <c r="F114" s="24" t="s">
        <v>87</v>
      </c>
      <c r="G114" s="17"/>
      <c r="H114" s="25">
        <f>H115</f>
        <v>283.7</v>
      </c>
      <c r="I114" s="25">
        <f aca="true" t="shared" si="48" ref="I114:R115">I115</f>
        <v>0</v>
      </c>
      <c r="J114" s="25">
        <f t="shared" si="48"/>
        <v>0</v>
      </c>
      <c r="K114" s="25">
        <f t="shared" si="48"/>
        <v>0</v>
      </c>
      <c r="L114" s="25">
        <f t="shared" si="48"/>
        <v>0</v>
      </c>
      <c r="M114" s="25">
        <f t="shared" si="48"/>
        <v>0</v>
      </c>
      <c r="N114" s="25">
        <f t="shared" si="48"/>
        <v>0</v>
      </c>
      <c r="O114" s="25">
        <f t="shared" si="48"/>
        <v>0</v>
      </c>
      <c r="P114" s="25">
        <f t="shared" si="48"/>
        <v>0</v>
      </c>
      <c r="Q114" s="25">
        <f t="shared" si="48"/>
        <v>0</v>
      </c>
      <c r="R114" s="25">
        <f t="shared" si="48"/>
        <v>254.4</v>
      </c>
      <c r="S114" s="16">
        <f t="shared" si="29"/>
        <v>-29.299999999999983</v>
      </c>
    </row>
    <row r="115" spans="1:19" s="1" customFormat="1" ht="18.75" customHeight="1">
      <c r="A115" s="56"/>
      <c r="B115" s="11" t="s">
        <v>78</v>
      </c>
      <c r="C115" s="23" t="s">
        <v>34</v>
      </c>
      <c r="D115" s="23" t="s">
        <v>26</v>
      </c>
      <c r="E115" s="23" t="s">
        <v>303</v>
      </c>
      <c r="F115" s="24" t="s">
        <v>92</v>
      </c>
      <c r="G115" s="17"/>
      <c r="H115" s="25">
        <f>H116</f>
        <v>283.7</v>
      </c>
      <c r="I115" s="25">
        <f t="shared" si="48"/>
        <v>0</v>
      </c>
      <c r="J115" s="25">
        <f t="shared" si="48"/>
        <v>0</v>
      </c>
      <c r="K115" s="25">
        <f t="shared" si="48"/>
        <v>0</v>
      </c>
      <c r="L115" s="25">
        <f t="shared" si="48"/>
        <v>0</v>
      </c>
      <c r="M115" s="25">
        <f t="shared" si="48"/>
        <v>0</v>
      </c>
      <c r="N115" s="25">
        <f t="shared" si="48"/>
        <v>0</v>
      </c>
      <c r="O115" s="25">
        <f t="shared" si="48"/>
        <v>0</v>
      </c>
      <c r="P115" s="25">
        <f t="shared" si="48"/>
        <v>0</v>
      </c>
      <c r="Q115" s="25">
        <f t="shared" si="48"/>
        <v>0</v>
      </c>
      <c r="R115" s="25">
        <f t="shared" si="48"/>
        <v>254.4</v>
      </c>
      <c r="S115" s="16">
        <f t="shared" si="29"/>
        <v>-29.299999999999983</v>
      </c>
    </row>
    <row r="116" spans="1:19" s="1" customFormat="1" ht="57" customHeight="1">
      <c r="A116" s="56"/>
      <c r="B116" s="68" t="s">
        <v>447</v>
      </c>
      <c r="C116" s="23" t="s">
        <v>34</v>
      </c>
      <c r="D116" s="23" t="s">
        <v>26</v>
      </c>
      <c r="E116" s="23" t="s">
        <v>303</v>
      </c>
      <c r="F116" s="24" t="s">
        <v>444</v>
      </c>
      <c r="G116" s="23" t="s">
        <v>58</v>
      </c>
      <c r="H116" s="25">
        <f>143.7+100+40</f>
        <v>283.7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3">
        <v>254.4</v>
      </c>
      <c r="S116" s="16">
        <f t="shared" si="29"/>
        <v>-29.299999999999983</v>
      </c>
    </row>
    <row r="117" spans="1:19" s="1" customFormat="1" ht="14.25" customHeight="1">
      <c r="A117" s="56"/>
      <c r="B117" s="15" t="s">
        <v>70</v>
      </c>
      <c r="C117" s="17" t="s">
        <v>34</v>
      </c>
      <c r="D117" s="17" t="s">
        <v>33</v>
      </c>
      <c r="E117" s="23"/>
      <c r="F117" s="24"/>
      <c r="G117" s="23"/>
      <c r="H117" s="16">
        <f>H118+H123</f>
        <v>601.8</v>
      </c>
      <c r="I117" s="16">
        <f aca="true" t="shared" si="49" ref="I117:R117">I118+I123</f>
        <v>0</v>
      </c>
      <c r="J117" s="16">
        <f t="shared" si="49"/>
        <v>0</v>
      </c>
      <c r="K117" s="16">
        <f t="shared" si="49"/>
        <v>0</v>
      </c>
      <c r="L117" s="16">
        <f t="shared" si="49"/>
        <v>0</v>
      </c>
      <c r="M117" s="16">
        <f t="shared" si="49"/>
        <v>0</v>
      </c>
      <c r="N117" s="16">
        <f t="shared" si="49"/>
        <v>0</v>
      </c>
      <c r="O117" s="16">
        <f t="shared" si="49"/>
        <v>0</v>
      </c>
      <c r="P117" s="16">
        <f t="shared" si="49"/>
        <v>0</v>
      </c>
      <c r="Q117" s="16">
        <f t="shared" si="49"/>
        <v>0</v>
      </c>
      <c r="R117" s="16">
        <f t="shared" si="49"/>
        <v>597.4000000000001</v>
      </c>
      <c r="S117" s="16">
        <f t="shared" si="29"/>
        <v>-4.399999999999864</v>
      </c>
    </row>
    <row r="118" spans="1:19" s="2" customFormat="1" ht="16.5" customHeight="1">
      <c r="A118" s="57"/>
      <c r="B118" s="19" t="s">
        <v>69</v>
      </c>
      <c r="C118" s="20" t="s">
        <v>34</v>
      </c>
      <c r="D118" s="20" t="s">
        <v>33</v>
      </c>
      <c r="E118" s="20" t="s">
        <v>25</v>
      </c>
      <c r="F118" s="21"/>
      <c r="G118" s="20"/>
      <c r="H118" s="22">
        <f>H119</f>
        <v>144</v>
      </c>
      <c r="I118" s="22">
        <f aca="true" t="shared" si="50" ref="I118:R119">I119</f>
        <v>0</v>
      </c>
      <c r="J118" s="22">
        <f t="shared" si="50"/>
        <v>0</v>
      </c>
      <c r="K118" s="22">
        <f t="shared" si="50"/>
        <v>0</v>
      </c>
      <c r="L118" s="22">
        <f t="shared" si="50"/>
        <v>0</v>
      </c>
      <c r="M118" s="22">
        <f t="shared" si="50"/>
        <v>0</v>
      </c>
      <c r="N118" s="22">
        <f t="shared" si="50"/>
        <v>0</v>
      </c>
      <c r="O118" s="22">
        <f t="shared" si="50"/>
        <v>0</v>
      </c>
      <c r="P118" s="22">
        <f t="shared" si="50"/>
        <v>0</v>
      </c>
      <c r="Q118" s="22">
        <f t="shared" si="50"/>
        <v>0</v>
      </c>
      <c r="R118" s="22">
        <f t="shared" si="50"/>
        <v>139.8</v>
      </c>
      <c r="S118" s="16">
        <f t="shared" si="29"/>
        <v>-4.199999999999989</v>
      </c>
    </row>
    <row r="119" spans="1:19" s="1" customFormat="1" ht="19.5" customHeight="1">
      <c r="A119" s="56"/>
      <c r="B119" s="11" t="s">
        <v>90</v>
      </c>
      <c r="C119" s="23" t="s">
        <v>34</v>
      </c>
      <c r="D119" s="23" t="s">
        <v>33</v>
      </c>
      <c r="E119" s="23" t="s">
        <v>25</v>
      </c>
      <c r="F119" s="24" t="s">
        <v>87</v>
      </c>
      <c r="G119" s="17"/>
      <c r="H119" s="25">
        <f>H120</f>
        <v>144</v>
      </c>
      <c r="I119" s="25">
        <f t="shared" si="50"/>
        <v>0</v>
      </c>
      <c r="J119" s="25">
        <f t="shared" si="50"/>
        <v>0</v>
      </c>
      <c r="K119" s="25">
        <f t="shared" si="50"/>
        <v>0</v>
      </c>
      <c r="L119" s="25">
        <f t="shared" si="50"/>
        <v>0</v>
      </c>
      <c r="M119" s="25">
        <f t="shared" si="50"/>
        <v>0</v>
      </c>
      <c r="N119" s="25">
        <f t="shared" si="50"/>
        <v>0</v>
      </c>
      <c r="O119" s="25">
        <f t="shared" si="50"/>
        <v>0</v>
      </c>
      <c r="P119" s="25">
        <f t="shared" si="50"/>
        <v>0</v>
      </c>
      <c r="Q119" s="25">
        <f t="shared" si="50"/>
        <v>0</v>
      </c>
      <c r="R119" s="25">
        <f t="shared" si="50"/>
        <v>139.8</v>
      </c>
      <c r="S119" s="16">
        <f t="shared" si="29"/>
        <v>-4.199999999999989</v>
      </c>
    </row>
    <row r="120" spans="1:19" s="1" customFormat="1" ht="16.5" customHeight="1">
      <c r="A120" s="56"/>
      <c r="B120" s="11" t="s">
        <v>78</v>
      </c>
      <c r="C120" s="23" t="s">
        <v>34</v>
      </c>
      <c r="D120" s="23" t="s">
        <v>33</v>
      </c>
      <c r="E120" s="23" t="s">
        <v>25</v>
      </c>
      <c r="F120" s="24" t="s">
        <v>92</v>
      </c>
      <c r="G120" s="17"/>
      <c r="H120" s="25">
        <f>H122+H121</f>
        <v>144</v>
      </c>
      <c r="I120" s="25">
        <f aca="true" t="shared" si="51" ref="I120:R120">I122+I121</f>
        <v>0</v>
      </c>
      <c r="J120" s="25">
        <f t="shared" si="51"/>
        <v>0</v>
      </c>
      <c r="K120" s="25">
        <f t="shared" si="51"/>
        <v>0</v>
      </c>
      <c r="L120" s="25">
        <f t="shared" si="51"/>
        <v>0</v>
      </c>
      <c r="M120" s="25">
        <f t="shared" si="51"/>
        <v>0</v>
      </c>
      <c r="N120" s="25">
        <f t="shared" si="51"/>
        <v>0</v>
      </c>
      <c r="O120" s="25">
        <f t="shared" si="51"/>
        <v>0</v>
      </c>
      <c r="P120" s="25">
        <f t="shared" si="51"/>
        <v>0</v>
      </c>
      <c r="Q120" s="25">
        <f t="shared" si="51"/>
        <v>0</v>
      </c>
      <c r="R120" s="25">
        <f t="shared" si="51"/>
        <v>139.8</v>
      </c>
      <c r="S120" s="16">
        <f t="shared" si="29"/>
        <v>-4.199999999999989</v>
      </c>
    </row>
    <row r="121" spans="1:19" s="1" customFormat="1" ht="29.25" customHeight="1">
      <c r="A121" s="56"/>
      <c r="B121" s="11" t="s">
        <v>377</v>
      </c>
      <c r="C121" s="23" t="s">
        <v>34</v>
      </c>
      <c r="D121" s="23" t="s">
        <v>33</v>
      </c>
      <c r="E121" s="23" t="s">
        <v>25</v>
      </c>
      <c r="F121" s="24" t="s">
        <v>127</v>
      </c>
      <c r="G121" s="23" t="s">
        <v>58</v>
      </c>
      <c r="H121" s="25">
        <v>16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25">
        <v>12.3</v>
      </c>
      <c r="S121" s="16">
        <f t="shared" si="29"/>
        <v>-3.6999999999999993</v>
      </c>
    </row>
    <row r="122" spans="1:19" s="1" customFormat="1" ht="33" customHeight="1">
      <c r="A122" s="56"/>
      <c r="B122" s="11" t="s">
        <v>110</v>
      </c>
      <c r="C122" s="23" t="s">
        <v>34</v>
      </c>
      <c r="D122" s="23" t="s">
        <v>33</v>
      </c>
      <c r="E122" s="23" t="s">
        <v>25</v>
      </c>
      <c r="F122" s="24" t="s">
        <v>127</v>
      </c>
      <c r="G122" s="23" t="s">
        <v>54</v>
      </c>
      <c r="H122" s="25">
        <v>128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3">
        <v>127.5</v>
      </c>
      <c r="S122" s="16">
        <f t="shared" si="29"/>
        <v>-0.5</v>
      </c>
    </row>
    <row r="123" spans="1:19" s="2" customFormat="1" ht="18" customHeight="1">
      <c r="A123" s="57"/>
      <c r="B123" s="19" t="s">
        <v>68</v>
      </c>
      <c r="C123" s="20" t="s">
        <v>34</v>
      </c>
      <c r="D123" s="20" t="s">
        <v>33</v>
      </c>
      <c r="E123" s="20" t="s">
        <v>29</v>
      </c>
      <c r="F123" s="21"/>
      <c r="G123" s="20"/>
      <c r="H123" s="22">
        <f>H124+H128</f>
        <v>457.79999999999995</v>
      </c>
      <c r="I123" s="22">
        <f aca="true" t="shared" si="52" ref="I123:R123">I124+I128</f>
        <v>0</v>
      </c>
      <c r="J123" s="22">
        <f t="shared" si="52"/>
        <v>0</v>
      </c>
      <c r="K123" s="22">
        <f t="shared" si="52"/>
        <v>0</v>
      </c>
      <c r="L123" s="22">
        <f t="shared" si="52"/>
        <v>0</v>
      </c>
      <c r="M123" s="22">
        <f t="shared" si="52"/>
        <v>0</v>
      </c>
      <c r="N123" s="22">
        <f t="shared" si="52"/>
        <v>0</v>
      </c>
      <c r="O123" s="22">
        <f t="shared" si="52"/>
        <v>0</v>
      </c>
      <c r="P123" s="22">
        <f t="shared" si="52"/>
        <v>0</v>
      </c>
      <c r="Q123" s="22">
        <f t="shared" si="52"/>
        <v>0</v>
      </c>
      <c r="R123" s="22">
        <f t="shared" si="52"/>
        <v>457.6</v>
      </c>
      <c r="S123" s="16">
        <f t="shared" si="29"/>
        <v>-0.1999999999999318</v>
      </c>
    </row>
    <row r="124" spans="1:19" s="2" customFormat="1" ht="21.75" customHeight="1">
      <c r="A124" s="57"/>
      <c r="B124" s="11" t="s">
        <v>90</v>
      </c>
      <c r="C124" s="23" t="s">
        <v>34</v>
      </c>
      <c r="D124" s="23" t="s">
        <v>33</v>
      </c>
      <c r="E124" s="23" t="s">
        <v>29</v>
      </c>
      <c r="F124" s="24" t="s">
        <v>87</v>
      </c>
      <c r="G124" s="20"/>
      <c r="H124" s="25">
        <f>H125</f>
        <v>299.59999999999997</v>
      </c>
      <c r="I124" s="25">
        <f aca="true" t="shared" si="53" ref="I124:R124">I125</f>
        <v>0</v>
      </c>
      <c r="J124" s="25">
        <f t="shared" si="53"/>
        <v>0</v>
      </c>
      <c r="K124" s="25">
        <f t="shared" si="53"/>
        <v>0</v>
      </c>
      <c r="L124" s="25">
        <f t="shared" si="53"/>
        <v>0</v>
      </c>
      <c r="M124" s="25">
        <f t="shared" si="53"/>
        <v>0</v>
      </c>
      <c r="N124" s="25">
        <f t="shared" si="53"/>
        <v>0</v>
      </c>
      <c r="O124" s="25">
        <f t="shared" si="53"/>
        <v>0</v>
      </c>
      <c r="P124" s="25">
        <f t="shared" si="53"/>
        <v>0</v>
      </c>
      <c r="Q124" s="25">
        <f t="shared" si="53"/>
        <v>0</v>
      </c>
      <c r="R124" s="25">
        <f t="shared" si="53"/>
        <v>299.40000000000003</v>
      </c>
      <c r="S124" s="16">
        <f t="shared" si="29"/>
        <v>-0.1999999999999318</v>
      </c>
    </row>
    <row r="125" spans="1:19" s="2" customFormat="1" ht="18" customHeight="1">
      <c r="A125" s="57"/>
      <c r="B125" s="11" t="s">
        <v>78</v>
      </c>
      <c r="C125" s="23" t="s">
        <v>34</v>
      </c>
      <c r="D125" s="23" t="s">
        <v>33</v>
      </c>
      <c r="E125" s="23" t="s">
        <v>29</v>
      </c>
      <c r="F125" s="24" t="s">
        <v>92</v>
      </c>
      <c r="G125" s="20"/>
      <c r="H125" s="25">
        <f>H127+H126</f>
        <v>299.59999999999997</v>
      </c>
      <c r="I125" s="25">
        <f aca="true" t="shared" si="54" ref="I125:R125">I127+I126</f>
        <v>0</v>
      </c>
      <c r="J125" s="25">
        <f t="shared" si="54"/>
        <v>0</v>
      </c>
      <c r="K125" s="25">
        <f t="shared" si="54"/>
        <v>0</v>
      </c>
      <c r="L125" s="25">
        <f t="shared" si="54"/>
        <v>0</v>
      </c>
      <c r="M125" s="25">
        <f t="shared" si="54"/>
        <v>0</v>
      </c>
      <c r="N125" s="25">
        <f t="shared" si="54"/>
        <v>0</v>
      </c>
      <c r="O125" s="25">
        <f t="shared" si="54"/>
        <v>0</v>
      </c>
      <c r="P125" s="25">
        <f t="shared" si="54"/>
        <v>0</v>
      </c>
      <c r="Q125" s="25">
        <f t="shared" si="54"/>
        <v>0</v>
      </c>
      <c r="R125" s="25">
        <f t="shared" si="54"/>
        <v>299.40000000000003</v>
      </c>
      <c r="S125" s="16">
        <f t="shared" si="29"/>
        <v>-0.1999999999999318</v>
      </c>
    </row>
    <row r="126" spans="1:19" s="2" customFormat="1" ht="47.25" customHeight="1">
      <c r="A126" s="57"/>
      <c r="B126" s="11" t="s">
        <v>404</v>
      </c>
      <c r="C126" s="23" t="s">
        <v>34</v>
      </c>
      <c r="D126" s="23" t="s">
        <v>33</v>
      </c>
      <c r="E126" s="23" t="s">
        <v>29</v>
      </c>
      <c r="F126" s="24" t="s">
        <v>128</v>
      </c>
      <c r="G126" s="23" t="s">
        <v>58</v>
      </c>
      <c r="H126" s="25">
        <f>90+16.3+81+20+29+58.9-0.1</f>
        <v>295.09999999999997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25">
        <v>295.1</v>
      </c>
      <c r="S126" s="16">
        <f t="shared" si="29"/>
        <v>0</v>
      </c>
    </row>
    <row r="127" spans="1:19" s="1" customFormat="1" ht="31.5" customHeight="1">
      <c r="A127" s="56"/>
      <c r="B127" s="11" t="s">
        <v>111</v>
      </c>
      <c r="C127" s="23" t="s">
        <v>34</v>
      </c>
      <c r="D127" s="23" t="s">
        <v>33</v>
      </c>
      <c r="E127" s="23" t="s">
        <v>29</v>
      </c>
      <c r="F127" s="24" t="s">
        <v>128</v>
      </c>
      <c r="G127" s="23" t="s">
        <v>54</v>
      </c>
      <c r="H127" s="25">
        <f>17.2-12.7</f>
        <v>4.5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3">
        <v>4.3</v>
      </c>
      <c r="S127" s="16">
        <f t="shared" si="29"/>
        <v>-0.20000000000000018</v>
      </c>
    </row>
    <row r="128" spans="1:19" s="1" customFormat="1" ht="31.5" customHeight="1">
      <c r="A128" s="57"/>
      <c r="B128" s="11" t="s">
        <v>332</v>
      </c>
      <c r="C128" s="23" t="s">
        <v>34</v>
      </c>
      <c r="D128" s="23" t="s">
        <v>33</v>
      </c>
      <c r="E128" s="23" t="s">
        <v>29</v>
      </c>
      <c r="F128" s="24" t="s">
        <v>30</v>
      </c>
      <c r="G128" s="23"/>
      <c r="H128" s="25">
        <f>H129+H135+H132</f>
        <v>158.2</v>
      </c>
      <c r="I128" s="25">
        <f aca="true" t="shared" si="55" ref="I128:R128">I129+I135+I132</f>
        <v>0</v>
      </c>
      <c r="J128" s="25">
        <f t="shared" si="55"/>
        <v>0</v>
      </c>
      <c r="K128" s="25">
        <f t="shared" si="55"/>
        <v>0</v>
      </c>
      <c r="L128" s="25">
        <f t="shared" si="55"/>
        <v>0</v>
      </c>
      <c r="M128" s="25">
        <f t="shared" si="55"/>
        <v>0</v>
      </c>
      <c r="N128" s="25">
        <f t="shared" si="55"/>
        <v>0</v>
      </c>
      <c r="O128" s="25">
        <f t="shared" si="55"/>
        <v>0</v>
      </c>
      <c r="P128" s="25">
        <f t="shared" si="55"/>
        <v>0</v>
      </c>
      <c r="Q128" s="25">
        <f t="shared" si="55"/>
        <v>0</v>
      </c>
      <c r="R128" s="25">
        <f t="shared" si="55"/>
        <v>158.2</v>
      </c>
      <c r="S128" s="16">
        <f t="shared" si="29"/>
        <v>0</v>
      </c>
    </row>
    <row r="129" spans="1:19" s="1" customFormat="1" ht="45.75" customHeight="1">
      <c r="A129" s="56"/>
      <c r="B129" s="11" t="s">
        <v>420</v>
      </c>
      <c r="C129" s="23" t="s">
        <v>34</v>
      </c>
      <c r="D129" s="23" t="s">
        <v>33</v>
      </c>
      <c r="E129" s="23" t="s">
        <v>29</v>
      </c>
      <c r="F129" s="24" t="s">
        <v>419</v>
      </c>
      <c r="G129" s="23"/>
      <c r="H129" s="25">
        <f>H130</f>
        <v>0</v>
      </c>
      <c r="I129" s="25">
        <f aca="true" t="shared" si="56" ref="I129:R130">I130</f>
        <v>0</v>
      </c>
      <c r="J129" s="25">
        <f t="shared" si="56"/>
        <v>0</v>
      </c>
      <c r="K129" s="25">
        <f t="shared" si="56"/>
        <v>0</v>
      </c>
      <c r="L129" s="25">
        <f t="shared" si="56"/>
        <v>0</v>
      </c>
      <c r="M129" s="25">
        <f t="shared" si="56"/>
        <v>0</v>
      </c>
      <c r="N129" s="25">
        <f t="shared" si="56"/>
        <v>0</v>
      </c>
      <c r="O129" s="25">
        <f t="shared" si="56"/>
        <v>0</v>
      </c>
      <c r="P129" s="25">
        <f t="shared" si="56"/>
        <v>0</v>
      </c>
      <c r="Q129" s="25">
        <f t="shared" si="56"/>
        <v>0</v>
      </c>
      <c r="R129" s="25">
        <f t="shared" si="56"/>
        <v>0</v>
      </c>
      <c r="S129" s="16">
        <f t="shared" si="29"/>
        <v>0</v>
      </c>
    </row>
    <row r="130" spans="1:19" s="1" customFormat="1" ht="45.75" customHeight="1">
      <c r="A130" s="56"/>
      <c r="B130" s="11" t="s">
        <v>422</v>
      </c>
      <c r="C130" s="23" t="s">
        <v>34</v>
      </c>
      <c r="D130" s="23" t="s">
        <v>33</v>
      </c>
      <c r="E130" s="23" t="s">
        <v>29</v>
      </c>
      <c r="F130" s="24" t="s">
        <v>421</v>
      </c>
      <c r="G130" s="23"/>
      <c r="H130" s="25">
        <f>H131</f>
        <v>0</v>
      </c>
      <c r="I130" s="25">
        <f t="shared" si="56"/>
        <v>0</v>
      </c>
      <c r="J130" s="25">
        <f t="shared" si="56"/>
        <v>0</v>
      </c>
      <c r="K130" s="25">
        <f t="shared" si="56"/>
        <v>0</v>
      </c>
      <c r="L130" s="25">
        <f t="shared" si="56"/>
        <v>0</v>
      </c>
      <c r="M130" s="25">
        <f t="shared" si="56"/>
        <v>0</v>
      </c>
      <c r="N130" s="25">
        <f t="shared" si="56"/>
        <v>0</v>
      </c>
      <c r="O130" s="25">
        <f t="shared" si="56"/>
        <v>0</v>
      </c>
      <c r="P130" s="25">
        <f t="shared" si="56"/>
        <v>0</v>
      </c>
      <c r="Q130" s="25">
        <f t="shared" si="56"/>
        <v>0</v>
      </c>
      <c r="R130" s="25">
        <f t="shared" si="56"/>
        <v>0</v>
      </c>
      <c r="S130" s="16">
        <f t="shared" si="29"/>
        <v>0</v>
      </c>
    </row>
    <row r="131" spans="1:19" s="1" customFormat="1" ht="31.5" customHeight="1">
      <c r="A131" s="56"/>
      <c r="B131" s="11" t="s">
        <v>409</v>
      </c>
      <c r="C131" s="23" t="s">
        <v>34</v>
      </c>
      <c r="D131" s="23" t="s">
        <v>33</v>
      </c>
      <c r="E131" s="23" t="s">
        <v>29</v>
      </c>
      <c r="F131" s="24" t="s">
        <v>418</v>
      </c>
      <c r="G131" s="23" t="s">
        <v>400</v>
      </c>
      <c r="H131" s="25">
        <f>162.3-52.6-109.7</f>
        <v>0</v>
      </c>
      <c r="I131" s="34"/>
      <c r="J131" s="35"/>
      <c r="K131" s="35"/>
      <c r="L131" s="35"/>
      <c r="M131" s="35"/>
      <c r="N131" s="35"/>
      <c r="O131" s="35"/>
      <c r="P131" s="35"/>
      <c r="Q131" s="35"/>
      <c r="R131" s="65"/>
      <c r="S131" s="16">
        <f t="shared" si="29"/>
        <v>0</v>
      </c>
    </row>
    <row r="132" spans="1:19" s="1" customFormat="1" ht="31.5" customHeight="1">
      <c r="A132" s="56"/>
      <c r="B132" s="11" t="s">
        <v>405</v>
      </c>
      <c r="C132" s="23" t="s">
        <v>34</v>
      </c>
      <c r="D132" s="23" t="s">
        <v>33</v>
      </c>
      <c r="E132" s="23" t="s">
        <v>29</v>
      </c>
      <c r="F132" s="24" t="s">
        <v>413</v>
      </c>
      <c r="G132" s="23"/>
      <c r="H132" s="25">
        <f>H133</f>
        <v>59.2</v>
      </c>
      <c r="I132" s="25">
        <f aca="true" t="shared" si="57" ref="I132:R133">I133</f>
        <v>0</v>
      </c>
      <c r="J132" s="25">
        <f t="shared" si="57"/>
        <v>0</v>
      </c>
      <c r="K132" s="25">
        <f t="shared" si="57"/>
        <v>0</v>
      </c>
      <c r="L132" s="25">
        <f t="shared" si="57"/>
        <v>0</v>
      </c>
      <c r="M132" s="25">
        <f t="shared" si="57"/>
        <v>0</v>
      </c>
      <c r="N132" s="25">
        <f t="shared" si="57"/>
        <v>0</v>
      </c>
      <c r="O132" s="25">
        <f t="shared" si="57"/>
        <v>0</v>
      </c>
      <c r="P132" s="25">
        <f t="shared" si="57"/>
        <v>0</v>
      </c>
      <c r="Q132" s="25">
        <f t="shared" si="57"/>
        <v>0</v>
      </c>
      <c r="R132" s="25">
        <f t="shared" si="57"/>
        <v>59.2</v>
      </c>
      <c r="S132" s="16">
        <f t="shared" si="29"/>
        <v>0</v>
      </c>
    </row>
    <row r="133" spans="1:19" s="1" customFormat="1" ht="59.25" customHeight="1">
      <c r="A133" s="56"/>
      <c r="B133" s="11" t="s">
        <v>408</v>
      </c>
      <c r="C133" s="23" t="s">
        <v>34</v>
      </c>
      <c r="D133" s="23" t="s">
        <v>33</v>
      </c>
      <c r="E133" s="23" t="s">
        <v>29</v>
      </c>
      <c r="F133" s="24" t="s">
        <v>414</v>
      </c>
      <c r="G133" s="23"/>
      <c r="H133" s="25">
        <f>H134</f>
        <v>59.2</v>
      </c>
      <c r="I133" s="25">
        <f t="shared" si="57"/>
        <v>0</v>
      </c>
      <c r="J133" s="25">
        <f t="shared" si="57"/>
        <v>0</v>
      </c>
      <c r="K133" s="25">
        <f t="shared" si="57"/>
        <v>0</v>
      </c>
      <c r="L133" s="25">
        <f t="shared" si="57"/>
        <v>0</v>
      </c>
      <c r="M133" s="25">
        <f t="shared" si="57"/>
        <v>0</v>
      </c>
      <c r="N133" s="25">
        <f t="shared" si="57"/>
        <v>0</v>
      </c>
      <c r="O133" s="25">
        <f t="shared" si="57"/>
        <v>0</v>
      </c>
      <c r="P133" s="25">
        <f t="shared" si="57"/>
        <v>0</v>
      </c>
      <c r="Q133" s="25">
        <f t="shared" si="57"/>
        <v>0</v>
      </c>
      <c r="R133" s="25">
        <f t="shared" si="57"/>
        <v>59.2</v>
      </c>
      <c r="S133" s="16">
        <f t="shared" si="29"/>
        <v>0</v>
      </c>
    </row>
    <row r="134" spans="1:19" s="1" customFormat="1" ht="31.5" customHeight="1">
      <c r="A134" s="56"/>
      <c r="B134" s="11" t="s">
        <v>409</v>
      </c>
      <c r="C134" s="23" t="s">
        <v>34</v>
      </c>
      <c r="D134" s="23" t="s">
        <v>33</v>
      </c>
      <c r="E134" s="23" t="s">
        <v>29</v>
      </c>
      <c r="F134" s="24" t="s">
        <v>415</v>
      </c>
      <c r="G134" s="23" t="s">
        <v>400</v>
      </c>
      <c r="H134" s="25">
        <v>59.2</v>
      </c>
      <c r="I134" s="34"/>
      <c r="J134" s="35"/>
      <c r="K134" s="35"/>
      <c r="L134" s="35"/>
      <c r="M134" s="35"/>
      <c r="N134" s="35"/>
      <c r="O134" s="35"/>
      <c r="P134" s="35"/>
      <c r="Q134" s="35"/>
      <c r="R134" s="65">
        <v>59.2</v>
      </c>
      <c r="S134" s="16">
        <f t="shared" si="29"/>
        <v>0</v>
      </c>
    </row>
    <row r="135" spans="1:19" s="1" customFormat="1" ht="45.75" customHeight="1">
      <c r="A135" s="56"/>
      <c r="B135" s="11" t="s">
        <v>411</v>
      </c>
      <c r="C135" s="23" t="s">
        <v>34</v>
      </c>
      <c r="D135" s="23" t="s">
        <v>33</v>
      </c>
      <c r="E135" s="23" t="s">
        <v>29</v>
      </c>
      <c r="F135" s="24" t="s">
        <v>416</v>
      </c>
      <c r="G135" s="23"/>
      <c r="H135" s="25">
        <f>H136</f>
        <v>99</v>
      </c>
      <c r="I135" s="25">
        <f aca="true" t="shared" si="58" ref="I135:R136">I136</f>
        <v>0</v>
      </c>
      <c r="J135" s="25">
        <f t="shared" si="58"/>
        <v>0</v>
      </c>
      <c r="K135" s="25">
        <f t="shared" si="58"/>
        <v>0</v>
      </c>
      <c r="L135" s="25">
        <f t="shared" si="58"/>
        <v>0</v>
      </c>
      <c r="M135" s="25">
        <f t="shared" si="58"/>
        <v>0</v>
      </c>
      <c r="N135" s="25">
        <f t="shared" si="58"/>
        <v>0</v>
      </c>
      <c r="O135" s="25">
        <f t="shared" si="58"/>
        <v>0</v>
      </c>
      <c r="P135" s="25">
        <f t="shared" si="58"/>
        <v>0</v>
      </c>
      <c r="Q135" s="25">
        <f t="shared" si="58"/>
        <v>0</v>
      </c>
      <c r="R135" s="25">
        <f t="shared" si="58"/>
        <v>99</v>
      </c>
      <c r="S135" s="16">
        <f t="shared" si="29"/>
        <v>0</v>
      </c>
    </row>
    <row r="136" spans="1:19" s="1" customFormat="1" ht="75" customHeight="1">
      <c r="A136" s="56"/>
      <c r="B136" s="11" t="s">
        <v>412</v>
      </c>
      <c r="C136" s="23" t="s">
        <v>34</v>
      </c>
      <c r="D136" s="23" t="s">
        <v>33</v>
      </c>
      <c r="E136" s="23" t="s">
        <v>29</v>
      </c>
      <c r="F136" s="24" t="s">
        <v>410</v>
      </c>
      <c r="G136" s="23"/>
      <c r="H136" s="25">
        <f>H137</f>
        <v>99</v>
      </c>
      <c r="I136" s="25">
        <f t="shared" si="58"/>
        <v>0</v>
      </c>
      <c r="J136" s="25">
        <f t="shared" si="58"/>
        <v>0</v>
      </c>
      <c r="K136" s="25">
        <f t="shared" si="58"/>
        <v>0</v>
      </c>
      <c r="L136" s="25">
        <f t="shared" si="58"/>
        <v>0</v>
      </c>
      <c r="M136" s="25">
        <f t="shared" si="58"/>
        <v>0</v>
      </c>
      <c r="N136" s="25">
        <f t="shared" si="58"/>
        <v>0</v>
      </c>
      <c r="O136" s="25">
        <f t="shared" si="58"/>
        <v>0</v>
      </c>
      <c r="P136" s="25">
        <f t="shared" si="58"/>
        <v>0</v>
      </c>
      <c r="Q136" s="25">
        <f t="shared" si="58"/>
        <v>0</v>
      </c>
      <c r="R136" s="25">
        <f t="shared" si="58"/>
        <v>99</v>
      </c>
      <c r="S136" s="16">
        <f t="shared" si="29"/>
        <v>0</v>
      </c>
    </row>
    <row r="137" spans="1:19" s="1" customFormat="1" ht="31.5" customHeight="1">
      <c r="A137" s="56"/>
      <c r="B137" s="11" t="s">
        <v>409</v>
      </c>
      <c r="C137" s="23" t="s">
        <v>34</v>
      </c>
      <c r="D137" s="23" t="s">
        <v>33</v>
      </c>
      <c r="E137" s="23" t="s">
        <v>29</v>
      </c>
      <c r="F137" s="24" t="s">
        <v>417</v>
      </c>
      <c r="G137" s="23" t="s">
        <v>400</v>
      </c>
      <c r="H137" s="25">
        <v>99</v>
      </c>
      <c r="I137" s="34"/>
      <c r="J137" s="35"/>
      <c r="K137" s="35"/>
      <c r="L137" s="35"/>
      <c r="M137" s="35"/>
      <c r="N137" s="35"/>
      <c r="O137" s="35"/>
      <c r="P137" s="35"/>
      <c r="Q137" s="35"/>
      <c r="R137" s="65">
        <v>99</v>
      </c>
      <c r="S137" s="16">
        <f t="shared" si="29"/>
        <v>0</v>
      </c>
    </row>
    <row r="138" spans="1:19" s="1" customFormat="1" ht="21.75" customHeight="1">
      <c r="A138" s="56"/>
      <c r="B138" s="14" t="s">
        <v>4</v>
      </c>
      <c r="C138" s="23" t="s">
        <v>34</v>
      </c>
      <c r="D138" s="36" t="s">
        <v>24</v>
      </c>
      <c r="E138" s="36"/>
      <c r="F138" s="37"/>
      <c r="G138" s="36"/>
      <c r="H138" s="16">
        <f>H139+H151</f>
        <v>4379.400000000001</v>
      </c>
      <c r="I138" s="16" t="e">
        <f aca="true" t="shared" si="59" ref="I138:R138">I139+I151</f>
        <v>#REF!</v>
      </c>
      <c r="J138" s="16" t="e">
        <f t="shared" si="59"/>
        <v>#REF!</v>
      </c>
      <c r="K138" s="16" t="e">
        <f t="shared" si="59"/>
        <v>#REF!</v>
      </c>
      <c r="L138" s="16" t="e">
        <f t="shared" si="59"/>
        <v>#REF!</v>
      </c>
      <c r="M138" s="16" t="e">
        <f t="shared" si="59"/>
        <v>#REF!</v>
      </c>
      <c r="N138" s="16" t="e">
        <f t="shared" si="59"/>
        <v>#REF!</v>
      </c>
      <c r="O138" s="16" t="e">
        <f t="shared" si="59"/>
        <v>#REF!</v>
      </c>
      <c r="P138" s="16" t="e">
        <f t="shared" si="59"/>
        <v>#REF!</v>
      </c>
      <c r="Q138" s="16" t="e">
        <f t="shared" si="59"/>
        <v>#REF!</v>
      </c>
      <c r="R138" s="16">
        <f t="shared" si="59"/>
        <v>4377.900000000001</v>
      </c>
      <c r="S138" s="16">
        <f aca="true" t="shared" si="60" ref="S138:S201">R138-H138</f>
        <v>-1.5</v>
      </c>
    </row>
    <row r="139" spans="1:19" s="1" customFormat="1" ht="24.75" customHeight="1">
      <c r="A139" s="56"/>
      <c r="B139" s="38" t="s">
        <v>41</v>
      </c>
      <c r="C139" s="30" t="s">
        <v>34</v>
      </c>
      <c r="D139" s="39" t="s">
        <v>24</v>
      </c>
      <c r="E139" s="39" t="s">
        <v>25</v>
      </c>
      <c r="F139" s="40"/>
      <c r="G139" s="39"/>
      <c r="H139" s="22">
        <f>H140</f>
        <v>4359.400000000001</v>
      </c>
      <c r="I139" s="22" t="e">
        <f aca="true" t="shared" si="61" ref="I139:R139">I140</f>
        <v>#REF!</v>
      </c>
      <c r="J139" s="22" t="e">
        <f t="shared" si="61"/>
        <v>#REF!</v>
      </c>
      <c r="K139" s="22" t="e">
        <f t="shared" si="61"/>
        <v>#REF!</v>
      </c>
      <c r="L139" s="22" t="e">
        <f t="shared" si="61"/>
        <v>#REF!</v>
      </c>
      <c r="M139" s="22" t="e">
        <f t="shared" si="61"/>
        <v>#REF!</v>
      </c>
      <c r="N139" s="22" t="e">
        <f t="shared" si="61"/>
        <v>#REF!</v>
      </c>
      <c r="O139" s="22" t="e">
        <f t="shared" si="61"/>
        <v>#REF!</v>
      </c>
      <c r="P139" s="22" t="e">
        <f t="shared" si="61"/>
        <v>#REF!</v>
      </c>
      <c r="Q139" s="22" t="e">
        <f t="shared" si="61"/>
        <v>#REF!</v>
      </c>
      <c r="R139" s="22">
        <f t="shared" si="61"/>
        <v>4357.900000000001</v>
      </c>
      <c r="S139" s="16">
        <f t="shared" si="60"/>
        <v>-1.5</v>
      </c>
    </row>
    <row r="140" spans="1:19" s="1" customFormat="1" ht="31.5" customHeight="1">
      <c r="A140" s="56"/>
      <c r="B140" s="41" t="s">
        <v>331</v>
      </c>
      <c r="C140" s="23" t="s">
        <v>34</v>
      </c>
      <c r="D140" s="23" t="s">
        <v>24</v>
      </c>
      <c r="E140" s="23" t="s">
        <v>25</v>
      </c>
      <c r="F140" s="42" t="s">
        <v>33</v>
      </c>
      <c r="G140" s="32"/>
      <c r="H140" s="25">
        <f>H141+H145+H148</f>
        <v>4359.400000000001</v>
      </c>
      <c r="I140" s="25" t="e">
        <f aca="true" t="shared" si="62" ref="I140:R140">I141+I145+I148</f>
        <v>#REF!</v>
      </c>
      <c r="J140" s="25" t="e">
        <f t="shared" si="62"/>
        <v>#REF!</v>
      </c>
      <c r="K140" s="25" t="e">
        <f t="shared" si="62"/>
        <v>#REF!</v>
      </c>
      <c r="L140" s="25" t="e">
        <f t="shared" si="62"/>
        <v>#REF!</v>
      </c>
      <c r="M140" s="25" t="e">
        <f t="shared" si="62"/>
        <v>#REF!</v>
      </c>
      <c r="N140" s="25" t="e">
        <f t="shared" si="62"/>
        <v>#REF!</v>
      </c>
      <c r="O140" s="25" t="e">
        <f t="shared" si="62"/>
        <v>#REF!</v>
      </c>
      <c r="P140" s="25" t="e">
        <f t="shared" si="62"/>
        <v>#REF!</v>
      </c>
      <c r="Q140" s="25" t="e">
        <f t="shared" si="62"/>
        <v>#REF!</v>
      </c>
      <c r="R140" s="25">
        <f t="shared" si="62"/>
        <v>4357.900000000001</v>
      </c>
      <c r="S140" s="16">
        <f t="shared" si="60"/>
        <v>-1.5</v>
      </c>
    </row>
    <row r="141" spans="1:19" s="2" customFormat="1" ht="37.5" customHeight="1">
      <c r="A141" s="57"/>
      <c r="B141" s="41" t="s">
        <v>112</v>
      </c>
      <c r="C141" s="23" t="s">
        <v>34</v>
      </c>
      <c r="D141" s="23" t="s">
        <v>24</v>
      </c>
      <c r="E141" s="23" t="s">
        <v>25</v>
      </c>
      <c r="F141" s="42" t="s">
        <v>114</v>
      </c>
      <c r="G141" s="32"/>
      <c r="H141" s="25">
        <f>H142</f>
        <v>1898.4</v>
      </c>
      <c r="I141" s="25">
        <f aca="true" t="shared" si="63" ref="I141:R141">I142</f>
        <v>0</v>
      </c>
      <c r="J141" s="25">
        <f t="shared" si="63"/>
        <v>0</v>
      </c>
      <c r="K141" s="25">
        <f t="shared" si="63"/>
        <v>0</v>
      </c>
      <c r="L141" s="25">
        <f t="shared" si="63"/>
        <v>0</v>
      </c>
      <c r="M141" s="25">
        <f t="shared" si="63"/>
        <v>0</v>
      </c>
      <c r="N141" s="25">
        <f t="shared" si="63"/>
        <v>0</v>
      </c>
      <c r="O141" s="25">
        <f t="shared" si="63"/>
        <v>0</v>
      </c>
      <c r="P141" s="25">
        <f t="shared" si="63"/>
        <v>0</v>
      </c>
      <c r="Q141" s="25">
        <f t="shared" si="63"/>
        <v>0</v>
      </c>
      <c r="R141" s="25">
        <f t="shared" si="63"/>
        <v>1896.9</v>
      </c>
      <c r="S141" s="16">
        <f t="shared" si="60"/>
        <v>-1.5</v>
      </c>
    </row>
    <row r="142" spans="1:19" s="2" customFormat="1" ht="70.5" customHeight="1">
      <c r="A142" s="57"/>
      <c r="B142" s="41" t="s">
        <v>297</v>
      </c>
      <c r="C142" s="23" t="s">
        <v>34</v>
      </c>
      <c r="D142" s="23" t="s">
        <v>24</v>
      </c>
      <c r="E142" s="23" t="s">
        <v>25</v>
      </c>
      <c r="F142" s="42" t="s">
        <v>115</v>
      </c>
      <c r="G142" s="32"/>
      <c r="H142" s="25">
        <f>H143+H144</f>
        <v>1898.4</v>
      </c>
      <c r="I142" s="25">
        <f aca="true" t="shared" si="64" ref="I142:R142">I143+I144</f>
        <v>0</v>
      </c>
      <c r="J142" s="25">
        <f t="shared" si="64"/>
        <v>0</v>
      </c>
      <c r="K142" s="25">
        <f t="shared" si="64"/>
        <v>0</v>
      </c>
      <c r="L142" s="25">
        <f t="shared" si="64"/>
        <v>0</v>
      </c>
      <c r="M142" s="25">
        <f t="shared" si="64"/>
        <v>0</v>
      </c>
      <c r="N142" s="25">
        <f t="shared" si="64"/>
        <v>0</v>
      </c>
      <c r="O142" s="25">
        <f t="shared" si="64"/>
        <v>0</v>
      </c>
      <c r="P142" s="25">
        <f t="shared" si="64"/>
        <v>0</v>
      </c>
      <c r="Q142" s="25">
        <f t="shared" si="64"/>
        <v>0</v>
      </c>
      <c r="R142" s="25">
        <f t="shared" si="64"/>
        <v>1896.9</v>
      </c>
      <c r="S142" s="16">
        <f t="shared" si="60"/>
        <v>-1.5</v>
      </c>
    </row>
    <row r="143" spans="1:19" s="1" customFormat="1" ht="62.25" customHeight="1">
      <c r="A143" s="56"/>
      <c r="B143" s="11" t="s">
        <v>75</v>
      </c>
      <c r="C143" s="23" t="s">
        <v>34</v>
      </c>
      <c r="D143" s="23" t="s">
        <v>24</v>
      </c>
      <c r="E143" s="23" t="s">
        <v>25</v>
      </c>
      <c r="F143" s="24" t="s">
        <v>113</v>
      </c>
      <c r="G143" s="23" t="s">
        <v>55</v>
      </c>
      <c r="H143" s="25">
        <f>609.3+200+632.8+28.9</f>
        <v>1471</v>
      </c>
      <c r="I143" s="43"/>
      <c r="J143" s="44"/>
      <c r="K143" s="44"/>
      <c r="L143" s="44"/>
      <c r="M143" s="44"/>
      <c r="N143" s="44"/>
      <c r="O143" s="44"/>
      <c r="P143" s="44"/>
      <c r="Q143" s="44"/>
      <c r="R143" s="13">
        <v>1469.5</v>
      </c>
      <c r="S143" s="16">
        <f t="shared" si="60"/>
        <v>-1.5</v>
      </c>
    </row>
    <row r="144" spans="1:19" s="1" customFormat="1" ht="94.5" customHeight="1">
      <c r="A144" s="56"/>
      <c r="B144" s="11" t="s">
        <v>120</v>
      </c>
      <c r="C144" s="23" t="s">
        <v>34</v>
      </c>
      <c r="D144" s="23" t="s">
        <v>24</v>
      </c>
      <c r="E144" s="23" t="s">
        <v>25</v>
      </c>
      <c r="F144" s="24" t="s">
        <v>330</v>
      </c>
      <c r="G144" s="23" t="s">
        <v>55</v>
      </c>
      <c r="H144" s="25">
        <f>886.9-459.5</f>
        <v>427.4</v>
      </c>
      <c r="I144" s="43"/>
      <c r="J144" s="44"/>
      <c r="K144" s="44"/>
      <c r="L144" s="44"/>
      <c r="M144" s="44"/>
      <c r="N144" s="44"/>
      <c r="O144" s="44"/>
      <c r="P144" s="44"/>
      <c r="Q144" s="44"/>
      <c r="R144" s="13">
        <v>427.4</v>
      </c>
      <c r="S144" s="16">
        <f t="shared" si="60"/>
        <v>0</v>
      </c>
    </row>
    <row r="145" spans="1:19" s="1" customFormat="1" ht="35.25" customHeight="1">
      <c r="A145" s="56"/>
      <c r="B145" s="11" t="s">
        <v>116</v>
      </c>
      <c r="C145" s="23" t="s">
        <v>34</v>
      </c>
      <c r="D145" s="23" t="s">
        <v>24</v>
      </c>
      <c r="E145" s="23" t="s">
        <v>25</v>
      </c>
      <c r="F145" s="24" t="s">
        <v>117</v>
      </c>
      <c r="G145" s="23"/>
      <c r="H145" s="25">
        <f>H146</f>
        <v>1197.2</v>
      </c>
      <c r="I145" s="25" t="e">
        <f aca="true" t="shared" si="65" ref="I145:R146">I146</f>
        <v>#REF!</v>
      </c>
      <c r="J145" s="25" t="e">
        <f t="shared" si="65"/>
        <v>#REF!</v>
      </c>
      <c r="K145" s="25" t="e">
        <f t="shared" si="65"/>
        <v>#REF!</v>
      </c>
      <c r="L145" s="25" t="e">
        <f t="shared" si="65"/>
        <v>#REF!</v>
      </c>
      <c r="M145" s="25" t="e">
        <f t="shared" si="65"/>
        <v>#REF!</v>
      </c>
      <c r="N145" s="25" t="e">
        <f t="shared" si="65"/>
        <v>#REF!</v>
      </c>
      <c r="O145" s="25" t="e">
        <f t="shared" si="65"/>
        <v>#REF!</v>
      </c>
      <c r="P145" s="25" t="e">
        <f t="shared" si="65"/>
        <v>#REF!</v>
      </c>
      <c r="Q145" s="25" t="e">
        <f t="shared" si="65"/>
        <v>#REF!</v>
      </c>
      <c r="R145" s="25">
        <f t="shared" si="65"/>
        <v>1197.2</v>
      </c>
      <c r="S145" s="16">
        <f t="shared" si="60"/>
        <v>0</v>
      </c>
    </row>
    <row r="146" spans="1:19" s="1" customFormat="1" ht="49.5" customHeight="1">
      <c r="A146" s="56"/>
      <c r="B146" s="11" t="s">
        <v>118</v>
      </c>
      <c r="C146" s="23" t="s">
        <v>34</v>
      </c>
      <c r="D146" s="23" t="s">
        <v>24</v>
      </c>
      <c r="E146" s="23" t="s">
        <v>25</v>
      </c>
      <c r="F146" s="24" t="s">
        <v>119</v>
      </c>
      <c r="G146" s="23"/>
      <c r="H146" s="25">
        <f>H147</f>
        <v>1197.2</v>
      </c>
      <c r="I146" s="25" t="e">
        <f t="shared" si="65"/>
        <v>#REF!</v>
      </c>
      <c r="J146" s="25" t="e">
        <f t="shared" si="65"/>
        <v>#REF!</v>
      </c>
      <c r="K146" s="25" t="e">
        <f t="shared" si="65"/>
        <v>#REF!</v>
      </c>
      <c r="L146" s="25" t="e">
        <f t="shared" si="65"/>
        <v>#REF!</v>
      </c>
      <c r="M146" s="25" t="e">
        <f t="shared" si="65"/>
        <v>#REF!</v>
      </c>
      <c r="N146" s="25" t="e">
        <f t="shared" si="65"/>
        <v>#REF!</v>
      </c>
      <c r="O146" s="25" t="e">
        <f t="shared" si="65"/>
        <v>#REF!</v>
      </c>
      <c r="P146" s="25" t="e">
        <f t="shared" si="65"/>
        <v>#REF!</v>
      </c>
      <c r="Q146" s="25" t="e">
        <f t="shared" si="65"/>
        <v>#REF!</v>
      </c>
      <c r="R146" s="25">
        <f t="shared" si="65"/>
        <v>1197.2</v>
      </c>
      <c r="S146" s="16">
        <f t="shared" si="60"/>
        <v>0</v>
      </c>
    </row>
    <row r="147" spans="1:19" s="1" customFormat="1" ht="109.5" customHeight="1">
      <c r="A147" s="56"/>
      <c r="B147" s="41" t="s">
        <v>76</v>
      </c>
      <c r="C147" s="23" t="s">
        <v>34</v>
      </c>
      <c r="D147" s="32" t="s">
        <v>24</v>
      </c>
      <c r="E147" s="32" t="s">
        <v>25</v>
      </c>
      <c r="F147" s="42" t="s">
        <v>121</v>
      </c>
      <c r="G147" s="32" t="s">
        <v>55</v>
      </c>
      <c r="H147" s="25">
        <v>1197.2</v>
      </c>
      <c r="I147" s="43" t="e">
        <f>#REF!</f>
        <v>#REF!</v>
      </c>
      <c r="J147" s="44" t="e">
        <f>#REF!</f>
        <v>#REF!</v>
      </c>
      <c r="K147" s="44" t="e">
        <f>#REF!</f>
        <v>#REF!</v>
      </c>
      <c r="L147" s="44" t="e">
        <f>#REF!</f>
        <v>#REF!</v>
      </c>
      <c r="M147" s="44" t="e">
        <f>#REF!</f>
        <v>#REF!</v>
      </c>
      <c r="N147" s="44" t="e">
        <f>#REF!</f>
        <v>#REF!</v>
      </c>
      <c r="O147" s="44" t="e">
        <f>#REF!</f>
        <v>#REF!</v>
      </c>
      <c r="P147" s="44" t="e">
        <f>#REF!</f>
        <v>#REF!</v>
      </c>
      <c r="Q147" s="44" t="e">
        <f>#REF!</f>
        <v>#REF!</v>
      </c>
      <c r="R147" s="13">
        <v>1197.2</v>
      </c>
      <c r="S147" s="16">
        <f t="shared" si="60"/>
        <v>0</v>
      </c>
    </row>
    <row r="148" spans="1:19" s="1" customFormat="1" ht="15">
      <c r="A148" s="56"/>
      <c r="B148" s="41" t="s">
        <v>122</v>
      </c>
      <c r="C148" s="23" t="s">
        <v>34</v>
      </c>
      <c r="D148" s="32" t="s">
        <v>24</v>
      </c>
      <c r="E148" s="32" t="s">
        <v>25</v>
      </c>
      <c r="F148" s="42" t="s">
        <v>123</v>
      </c>
      <c r="G148" s="32"/>
      <c r="H148" s="25">
        <f>H149</f>
        <v>1263.8</v>
      </c>
      <c r="I148" s="25">
        <f aca="true" t="shared" si="66" ref="I148:R149">I149</f>
        <v>0</v>
      </c>
      <c r="J148" s="25">
        <f t="shared" si="66"/>
        <v>0</v>
      </c>
      <c r="K148" s="25">
        <f t="shared" si="66"/>
        <v>0</v>
      </c>
      <c r="L148" s="25">
        <f t="shared" si="66"/>
        <v>0</v>
      </c>
      <c r="M148" s="25">
        <f t="shared" si="66"/>
        <v>0</v>
      </c>
      <c r="N148" s="25">
        <f t="shared" si="66"/>
        <v>0</v>
      </c>
      <c r="O148" s="25">
        <f t="shared" si="66"/>
        <v>0</v>
      </c>
      <c r="P148" s="25">
        <f t="shared" si="66"/>
        <v>0</v>
      </c>
      <c r="Q148" s="25">
        <f t="shared" si="66"/>
        <v>0</v>
      </c>
      <c r="R148" s="25">
        <f t="shared" si="66"/>
        <v>1263.8</v>
      </c>
      <c r="S148" s="16">
        <f t="shared" si="60"/>
        <v>0</v>
      </c>
    </row>
    <row r="149" spans="1:19" s="1" customFormat="1" ht="30">
      <c r="A149" s="56"/>
      <c r="B149" s="41" t="s">
        <v>124</v>
      </c>
      <c r="C149" s="23" t="s">
        <v>34</v>
      </c>
      <c r="D149" s="32" t="s">
        <v>24</v>
      </c>
      <c r="E149" s="32" t="s">
        <v>25</v>
      </c>
      <c r="F149" s="42" t="s">
        <v>125</v>
      </c>
      <c r="G149" s="32"/>
      <c r="H149" s="25">
        <f>H150</f>
        <v>1263.8</v>
      </c>
      <c r="I149" s="25">
        <f t="shared" si="66"/>
        <v>0</v>
      </c>
      <c r="J149" s="25">
        <f t="shared" si="66"/>
        <v>0</v>
      </c>
      <c r="K149" s="25">
        <f t="shared" si="66"/>
        <v>0</v>
      </c>
      <c r="L149" s="25">
        <f t="shared" si="66"/>
        <v>0</v>
      </c>
      <c r="M149" s="25">
        <f t="shared" si="66"/>
        <v>0</v>
      </c>
      <c r="N149" s="25">
        <f t="shared" si="66"/>
        <v>0</v>
      </c>
      <c r="O149" s="25">
        <f t="shared" si="66"/>
        <v>0</v>
      </c>
      <c r="P149" s="25">
        <f t="shared" si="66"/>
        <v>0</v>
      </c>
      <c r="Q149" s="25">
        <f t="shared" si="66"/>
        <v>0</v>
      </c>
      <c r="R149" s="25">
        <f t="shared" si="66"/>
        <v>1263.8</v>
      </c>
      <c r="S149" s="16">
        <f t="shared" si="60"/>
        <v>0</v>
      </c>
    </row>
    <row r="150" spans="1:19" s="1" customFormat="1" ht="90">
      <c r="A150" s="56"/>
      <c r="B150" s="41" t="s">
        <v>77</v>
      </c>
      <c r="C150" s="23" t="s">
        <v>34</v>
      </c>
      <c r="D150" s="32" t="s">
        <v>24</v>
      </c>
      <c r="E150" s="32" t="s">
        <v>25</v>
      </c>
      <c r="F150" s="42" t="s">
        <v>273</v>
      </c>
      <c r="G150" s="32" t="s">
        <v>55</v>
      </c>
      <c r="H150" s="25">
        <v>1263.8</v>
      </c>
      <c r="I150" s="46"/>
      <c r="J150" s="45"/>
      <c r="K150" s="45"/>
      <c r="L150" s="45"/>
      <c r="M150" s="45"/>
      <c r="N150" s="45"/>
      <c r="O150" s="45"/>
      <c r="P150" s="45"/>
      <c r="Q150" s="45"/>
      <c r="R150" s="13">
        <v>1263.8</v>
      </c>
      <c r="S150" s="16">
        <f t="shared" si="60"/>
        <v>0</v>
      </c>
    </row>
    <row r="151" spans="1:19" s="1" customFormat="1" ht="45">
      <c r="A151" s="56"/>
      <c r="B151" s="11" t="s">
        <v>334</v>
      </c>
      <c r="C151" s="23" t="s">
        <v>34</v>
      </c>
      <c r="D151" s="23" t="s">
        <v>24</v>
      </c>
      <c r="E151" s="23" t="s">
        <v>25</v>
      </c>
      <c r="F151" s="24" t="s">
        <v>24</v>
      </c>
      <c r="G151" s="23"/>
      <c r="H151" s="25">
        <f>H152</f>
        <v>20</v>
      </c>
      <c r="I151" s="25">
        <f aca="true" t="shared" si="67" ref="I151:R152">I152</f>
        <v>0</v>
      </c>
      <c r="J151" s="25">
        <f t="shared" si="67"/>
        <v>0</v>
      </c>
      <c r="K151" s="25">
        <f t="shared" si="67"/>
        <v>0</v>
      </c>
      <c r="L151" s="25">
        <f t="shared" si="67"/>
        <v>0</v>
      </c>
      <c r="M151" s="25">
        <f t="shared" si="67"/>
        <v>0</v>
      </c>
      <c r="N151" s="25">
        <f t="shared" si="67"/>
        <v>0</v>
      </c>
      <c r="O151" s="25">
        <f t="shared" si="67"/>
        <v>0</v>
      </c>
      <c r="P151" s="25">
        <f t="shared" si="67"/>
        <v>0</v>
      </c>
      <c r="Q151" s="25">
        <f t="shared" si="67"/>
        <v>0</v>
      </c>
      <c r="R151" s="25">
        <f t="shared" si="67"/>
        <v>20</v>
      </c>
      <c r="S151" s="16">
        <f t="shared" si="60"/>
        <v>0</v>
      </c>
    </row>
    <row r="152" spans="1:19" s="1" customFormat="1" ht="30">
      <c r="A152" s="56"/>
      <c r="B152" s="11" t="s">
        <v>464</v>
      </c>
      <c r="C152" s="23" t="s">
        <v>34</v>
      </c>
      <c r="D152" s="23" t="s">
        <v>24</v>
      </c>
      <c r="E152" s="23" t="s">
        <v>25</v>
      </c>
      <c r="F152" s="24" t="s">
        <v>210</v>
      </c>
      <c r="G152" s="23"/>
      <c r="H152" s="25">
        <f>H153</f>
        <v>20</v>
      </c>
      <c r="I152" s="25">
        <f t="shared" si="67"/>
        <v>0</v>
      </c>
      <c r="J152" s="25">
        <f t="shared" si="67"/>
        <v>0</v>
      </c>
      <c r="K152" s="25">
        <f t="shared" si="67"/>
        <v>0</v>
      </c>
      <c r="L152" s="25">
        <f t="shared" si="67"/>
        <v>0</v>
      </c>
      <c r="M152" s="25">
        <f t="shared" si="67"/>
        <v>0</v>
      </c>
      <c r="N152" s="25">
        <f t="shared" si="67"/>
        <v>0</v>
      </c>
      <c r="O152" s="25">
        <f t="shared" si="67"/>
        <v>0</v>
      </c>
      <c r="P152" s="25">
        <f t="shared" si="67"/>
        <v>0</v>
      </c>
      <c r="Q152" s="25">
        <f t="shared" si="67"/>
        <v>0</v>
      </c>
      <c r="R152" s="25">
        <f t="shared" si="67"/>
        <v>20</v>
      </c>
      <c r="S152" s="16">
        <f t="shared" si="60"/>
        <v>0</v>
      </c>
    </row>
    <row r="153" spans="1:19" s="1" customFormat="1" ht="75">
      <c r="A153" s="56"/>
      <c r="B153" s="11" t="s">
        <v>463</v>
      </c>
      <c r="C153" s="23" t="s">
        <v>34</v>
      </c>
      <c r="D153" s="23" t="s">
        <v>24</v>
      </c>
      <c r="E153" s="23" t="s">
        <v>25</v>
      </c>
      <c r="F153" s="24" t="s">
        <v>104</v>
      </c>
      <c r="G153" s="23" t="s">
        <v>55</v>
      </c>
      <c r="H153" s="25">
        <v>20</v>
      </c>
      <c r="I153" s="46"/>
      <c r="J153" s="45"/>
      <c r="K153" s="45"/>
      <c r="L153" s="45"/>
      <c r="M153" s="45"/>
      <c r="N153" s="45"/>
      <c r="O153" s="45"/>
      <c r="P153" s="45"/>
      <c r="Q153" s="45"/>
      <c r="R153" s="13">
        <v>20</v>
      </c>
      <c r="S153" s="16">
        <f t="shared" si="60"/>
        <v>0</v>
      </c>
    </row>
    <row r="154" spans="1:19" s="1" customFormat="1" ht="15">
      <c r="A154" s="56"/>
      <c r="B154" s="14" t="s">
        <v>5</v>
      </c>
      <c r="C154" s="17" t="s">
        <v>34</v>
      </c>
      <c r="D154" s="36" t="s">
        <v>27</v>
      </c>
      <c r="E154" s="36"/>
      <c r="F154" s="37"/>
      <c r="G154" s="36"/>
      <c r="H154" s="16">
        <f>H155</f>
        <v>1600</v>
      </c>
      <c r="I154" s="16">
        <f aca="true" t="shared" si="68" ref="I154:R157">I155</f>
        <v>0</v>
      </c>
      <c r="J154" s="16">
        <f t="shared" si="68"/>
        <v>0</v>
      </c>
      <c r="K154" s="16">
        <f t="shared" si="68"/>
        <v>0</v>
      </c>
      <c r="L154" s="16">
        <f t="shared" si="68"/>
        <v>0</v>
      </c>
      <c r="M154" s="16">
        <f t="shared" si="68"/>
        <v>0</v>
      </c>
      <c r="N154" s="16">
        <f t="shared" si="68"/>
        <v>0</v>
      </c>
      <c r="O154" s="16">
        <f t="shared" si="68"/>
        <v>0</v>
      </c>
      <c r="P154" s="16">
        <f t="shared" si="68"/>
        <v>0</v>
      </c>
      <c r="Q154" s="16">
        <f t="shared" si="68"/>
        <v>0</v>
      </c>
      <c r="R154" s="16">
        <f t="shared" si="68"/>
        <v>1600</v>
      </c>
      <c r="S154" s="16">
        <f t="shared" si="60"/>
        <v>0</v>
      </c>
    </row>
    <row r="155" spans="1:19" s="90" customFormat="1" ht="15">
      <c r="A155" s="89"/>
      <c r="B155" s="38" t="s">
        <v>17</v>
      </c>
      <c r="C155" s="20" t="s">
        <v>34</v>
      </c>
      <c r="D155" s="39" t="s">
        <v>27</v>
      </c>
      <c r="E155" s="39" t="s">
        <v>28</v>
      </c>
      <c r="F155" s="40"/>
      <c r="G155" s="39"/>
      <c r="H155" s="22">
        <f>H156</f>
        <v>1600</v>
      </c>
      <c r="I155" s="22">
        <f t="shared" si="68"/>
        <v>0</v>
      </c>
      <c r="J155" s="22">
        <f t="shared" si="68"/>
        <v>0</v>
      </c>
      <c r="K155" s="22">
        <f t="shared" si="68"/>
        <v>0</v>
      </c>
      <c r="L155" s="22">
        <f t="shared" si="68"/>
        <v>0</v>
      </c>
      <c r="M155" s="22">
        <f t="shared" si="68"/>
        <v>0</v>
      </c>
      <c r="N155" s="22">
        <f t="shared" si="68"/>
        <v>0</v>
      </c>
      <c r="O155" s="22">
        <f t="shared" si="68"/>
        <v>0</v>
      </c>
      <c r="P155" s="22">
        <f t="shared" si="68"/>
        <v>0</v>
      </c>
      <c r="Q155" s="22">
        <f t="shared" si="68"/>
        <v>0</v>
      </c>
      <c r="R155" s="22">
        <f t="shared" si="68"/>
        <v>1600</v>
      </c>
      <c r="S155" s="16">
        <f t="shared" si="60"/>
        <v>0</v>
      </c>
    </row>
    <row r="156" spans="1:19" s="1" customFormat="1" ht="23.25" customHeight="1">
      <c r="A156" s="56"/>
      <c r="B156" s="11" t="s">
        <v>90</v>
      </c>
      <c r="C156" s="23" t="s">
        <v>34</v>
      </c>
      <c r="D156" s="23" t="s">
        <v>27</v>
      </c>
      <c r="E156" s="23" t="s">
        <v>28</v>
      </c>
      <c r="F156" s="24" t="s">
        <v>87</v>
      </c>
      <c r="G156" s="32"/>
      <c r="H156" s="25">
        <f>H157</f>
        <v>1600</v>
      </c>
      <c r="I156" s="25">
        <f t="shared" si="68"/>
        <v>0</v>
      </c>
      <c r="J156" s="25">
        <f t="shared" si="68"/>
        <v>0</v>
      </c>
      <c r="K156" s="25">
        <f t="shared" si="68"/>
        <v>0</v>
      </c>
      <c r="L156" s="25">
        <f t="shared" si="68"/>
        <v>0</v>
      </c>
      <c r="M156" s="25">
        <f t="shared" si="68"/>
        <v>0</v>
      </c>
      <c r="N156" s="25">
        <f t="shared" si="68"/>
        <v>0</v>
      </c>
      <c r="O156" s="25">
        <f t="shared" si="68"/>
        <v>0</v>
      </c>
      <c r="P156" s="25">
        <f t="shared" si="68"/>
        <v>0</v>
      </c>
      <c r="Q156" s="25">
        <f t="shared" si="68"/>
        <v>0</v>
      </c>
      <c r="R156" s="25">
        <f t="shared" si="68"/>
        <v>1600</v>
      </c>
      <c r="S156" s="16">
        <f t="shared" si="60"/>
        <v>0</v>
      </c>
    </row>
    <row r="157" spans="1:19" s="1" customFormat="1" ht="15">
      <c r="A157" s="56"/>
      <c r="B157" s="11" t="s">
        <v>78</v>
      </c>
      <c r="C157" s="23" t="s">
        <v>34</v>
      </c>
      <c r="D157" s="23" t="s">
        <v>27</v>
      </c>
      <c r="E157" s="23" t="s">
        <v>28</v>
      </c>
      <c r="F157" s="24" t="s">
        <v>92</v>
      </c>
      <c r="G157" s="32"/>
      <c r="H157" s="25">
        <f>H158</f>
        <v>1600</v>
      </c>
      <c r="I157" s="25">
        <f t="shared" si="68"/>
        <v>0</v>
      </c>
      <c r="J157" s="25">
        <f t="shared" si="68"/>
        <v>0</v>
      </c>
      <c r="K157" s="25">
        <f t="shared" si="68"/>
        <v>0</v>
      </c>
      <c r="L157" s="25">
        <f t="shared" si="68"/>
        <v>0</v>
      </c>
      <c r="M157" s="25">
        <f t="shared" si="68"/>
        <v>0</v>
      </c>
      <c r="N157" s="25">
        <f t="shared" si="68"/>
        <v>0</v>
      </c>
      <c r="O157" s="25">
        <f t="shared" si="68"/>
        <v>0</v>
      </c>
      <c r="P157" s="25">
        <f t="shared" si="68"/>
        <v>0</v>
      </c>
      <c r="Q157" s="25">
        <f t="shared" si="68"/>
        <v>0</v>
      </c>
      <c r="R157" s="25">
        <f t="shared" si="68"/>
        <v>1600</v>
      </c>
      <c r="S157" s="16">
        <f t="shared" si="60"/>
        <v>0</v>
      </c>
    </row>
    <row r="158" spans="1:19" s="1" customFormat="1" ht="60">
      <c r="A158" s="56"/>
      <c r="B158" s="41" t="s">
        <v>439</v>
      </c>
      <c r="C158" s="23" t="s">
        <v>34</v>
      </c>
      <c r="D158" s="32" t="s">
        <v>27</v>
      </c>
      <c r="E158" s="32" t="s">
        <v>28</v>
      </c>
      <c r="F158" s="42" t="s">
        <v>438</v>
      </c>
      <c r="G158" s="32" t="s">
        <v>60</v>
      </c>
      <c r="H158" s="25">
        <v>1600</v>
      </c>
      <c r="I158" s="46"/>
      <c r="J158" s="45"/>
      <c r="K158" s="45"/>
      <c r="L158" s="45"/>
      <c r="M158" s="45"/>
      <c r="N158" s="45"/>
      <c r="O158" s="45"/>
      <c r="P158" s="45"/>
      <c r="Q158" s="45"/>
      <c r="R158" s="13">
        <v>1600</v>
      </c>
      <c r="S158" s="16">
        <f t="shared" si="60"/>
        <v>0</v>
      </c>
    </row>
    <row r="159" spans="1:19" s="1" customFormat="1" ht="58.5" customHeight="1">
      <c r="A159" s="56"/>
      <c r="B159" s="47" t="s">
        <v>346</v>
      </c>
      <c r="C159" s="81">
        <v>353</v>
      </c>
      <c r="D159" s="10"/>
      <c r="E159" s="10"/>
      <c r="F159" s="11"/>
      <c r="G159" s="10"/>
      <c r="H159" s="83">
        <f aca="true" t="shared" si="69" ref="H159:R159">H160+H182+H216+H223+H171</f>
        <v>29014.500000000004</v>
      </c>
      <c r="I159" s="83" t="e">
        <f t="shared" si="69"/>
        <v>#REF!</v>
      </c>
      <c r="J159" s="83" t="e">
        <f t="shared" si="69"/>
        <v>#REF!</v>
      </c>
      <c r="K159" s="83" t="e">
        <f t="shared" si="69"/>
        <v>#REF!</v>
      </c>
      <c r="L159" s="83" t="e">
        <f t="shared" si="69"/>
        <v>#REF!</v>
      </c>
      <c r="M159" s="83" t="e">
        <f t="shared" si="69"/>
        <v>#REF!</v>
      </c>
      <c r="N159" s="83" t="e">
        <f t="shared" si="69"/>
        <v>#REF!</v>
      </c>
      <c r="O159" s="83" t="e">
        <f t="shared" si="69"/>
        <v>#REF!</v>
      </c>
      <c r="P159" s="83" t="e">
        <f t="shared" si="69"/>
        <v>#REF!</v>
      </c>
      <c r="Q159" s="83" t="e">
        <f t="shared" si="69"/>
        <v>#REF!</v>
      </c>
      <c r="R159" s="83">
        <f t="shared" si="69"/>
        <v>28549.299999999996</v>
      </c>
      <c r="S159" s="16">
        <f t="shared" si="60"/>
        <v>-465.200000000008</v>
      </c>
    </row>
    <row r="160" spans="1:19" s="1" customFormat="1" ht="15">
      <c r="A160" s="56"/>
      <c r="B160" s="15" t="s">
        <v>63</v>
      </c>
      <c r="C160" s="36" t="s">
        <v>35</v>
      </c>
      <c r="D160" s="17" t="s">
        <v>25</v>
      </c>
      <c r="E160" s="17"/>
      <c r="F160" s="18"/>
      <c r="G160" s="17"/>
      <c r="H160" s="16">
        <f aca="true" t="shared" si="70" ref="H160:R160">H161+H166</f>
        <v>617.1</v>
      </c>
      <c r="I160" s="16" t="e">
        <f t="shared" si="70"/>
        <v>#REF!</v>
      </c>
      <c r="J160" s="16" t="e">
        <f t="shared" si="70"/>
        <v>#REF!</v>
      </c>
      <c r="K160" s="16" t="e">
        <f t="shared" si="70"/>
        <v>#REF!</v>
      </c>
      <c r="L160" s="16" t="e">
        <f t="shared" si="70"/>
        <v>#REF!</v>
      </c>
      <c r="M160" s="16" t="e">
        <f t="shared" si="70"/>
        <v>#REF!</v>
      </c>
      <c r="N160" s="16" t="e">
        <f t="shared" si="70"/>
        <v>#REF!</v>
      </c>
      <c r="O160" s="16" t="e">
        <f t="shared" si="70"/>
        <v>#REF!</v>
      </c>
      <c r="P160" s="16" t="e">
        <f t="shared" si="70"/>
        <v>#REF!</v>
      </c>
      <c r="Q160" s="16" t="e">
        <f t="shared" si="70"/>
        <v>#REF!</v>
      </c>
      <c r="R160" s="16">
        <f t="shared" si="70"/>
        <v>574.3</v>
      </c>
      <c r="S160" s="16">
        <f t="shared" si="60"/>
        <v>-42.80000000000007</v>
      </c>
    </row>
    <row r="161" spans="1:19" s="2" customFormat="1" ht="49.5" customHeight="1">
      <c r="A161" s="57"/>
      <c r="B161" s="19" t="s">
        <v>40</v>
      </c>
      <c r="C161" s="39" t="s">
        <v>35</v>
      </c>
      <c r="D161" s="20" t="s">
        <v>25</v>
      </c>
      <c r="E161" s="20" t="s">
        <v>26</v>
      </c>
      <c r="F161" s="21"/>
      <c r="G161" s="20"/>
      <c r="H161" s="22">
        <f>H165</f>
        <v>214</v>
      </c>
      <c r="I161" s="22" t="e">
        <f aca="true" t="shared" si="71" ref="I161:R161">I165</f>
        <v>#REF!</v>
      </c>
      <c r="J161" s="22" t="e">
        <f t="shared" si="71"/>
        <v>#REF!</v>
      </c>
      <c r="K161" s="22" t="e">
        <f t="shared" si="71"/>
        <v>#REF!</v>
      </c>
      <c r="L161" s="22" t="e">
        <f t="shared" si="71"/>
        <v>#REF!</v>
      </c>
      <c r="M161" s="22" t="e">
        <f t="shared" si="71"/>
        <v>#REF!</v>
      </c>
      <c r="N161" s="22" t="e">
        <f t="shared" si="71"/>
        <v>#REF!</v>
      </c>
      <c r="O161" s="22" t="e">
        <f t="shared" si="71"/>
        <v>#REF!</v>
      </c>
      <c r="P161" s="22" t="e">
        <f t="shared" si="71"/>
        <v>#REF!</v>
      </c>
      <c r="Q161" s="22" t="e">
        <f t="shared" si="71"/>
        <v>#REF!</v>
      </c>
      <c r="R161" s="22">
        <f t="shared" si="71"/>
        <v>187.1</v>
      </c>
      <c r="S161" s="16">
        <f t="shared" si="60"/>
        <v>-26.900000000000006</v>
      </c>
    </row>
    <row r="162" spans="1:19" s="2" customFormat="1" ht="30">
      <c r="A162" s="57"/>
      <c r="B162" s="11" t="s">
        <v>140</v>
      </c>
      <c r="C162" s="69" t="s">
        <v>35</v>
      </c>
      <c r="D162" s="23" t="s">
        <v>25</v>
      </c>
      <c r="E162" s="23" t="s">
        <v>26</v>
      </c>
      <c r="F162" s="24" t="s">
        <v>26</v>
      </c>
      <c r="G162" s="23"/>
      <c r="H162" s="25">
        <f>H163</f>
        <v>214</v>
      </c>
      <c r="I162" s="25" t="e">
        <f aca="true" t="shared" si="72" ref="I162:R162">I163</f>
        <v>#REF!</v>
      </c>
      <c r="J162" s="25" t="e">
        <f t="shared" si="72"/>
        <v>#REF!</v>
      </c>
      <c r="K162" s="25" t="e">
        <f t="shared" si="72"/>
        <v>#REF!</v>
      </c>
      <c r="L162" s="25" t="e">
        <f t="shared" si="72"/>
        <v>#REF!</v>
      </c>
      <c r="M162" s="25" t="e">
        <f t="shared" si="72"/>
        <v>#REF!</v>
      </c>
      <c r="N162" s="25" t="e">
        <f t="shared" si="72"/>
        <v>#REF!</v>
      </c>
      <c r="O162" s="25" t="e">
        <f t="shared" si="72"/>
        <v>#REF!</v>
      </c>
      <c r="P162" s="25" t="e">
        <f t="shared" si="72"/>
        <v>#REF!</v>
      </c>
      <c r="Q162" s="25" t="e">
        <f t="shared" si="72"/>
        <v>#REF!</v>
      </c>
      <c r="R162" s="25">
        <f t="shared" si="72"/>
        <v>187.1</v>
      </c>
      <c r="S162" s="16">
        <f t="shared" si="60"/>
        <v>-26.900000000000006</v>
      </c>
    </row>
    <row r="163" spans="1:19" s="12" customFormat="1" ht="30">
      <c r="A163" s="56"/>
      <c r="B163" s="11" t="s">
        <v>343</v>
      </c>
      <c r="C163" s="32" t="s">
        <v>35</v>
      </c>
      <c r="D163" s="23" t="s">
        <v>25</v>
      </c>
      <c r="E163" s="23" t="s">
        <v>26</v>
      </c>
      <c r="F163" s="24" t="s">
        <v>141</v>
      </c>
      <c r="G163" s="23"/>
      <c r="H163" s="25">
        <f>H165</f>
        <v>214</v>
      </c>
      <c r="I163" s="25" t="e">
        <f aca="true" t="shared" si="73" ref="I163:R163">I165</f>
        <v>#REF!</v>
      </c>
      <c r="J163" s="25" t="e">
        <f t="shared" si="73"/>
        <v>#REF!</v>
      </c>
      <c r="K163" s="25" t="e">
        <f t="shared" si="73"/>
        <v>#REF!</v>
      </c>
      <c r="L163" s="25" t="e">
        <f t="shared" si="73"/>
        <v>#REF!</v>
      </c>
      <c r="M163" s="25" t="e">
        <f t="shared" si="73"/>
        <v>#REF!</v>
      </c>
      <c r="N163" s="25" t="e">
        <f t="shared" si="73"/>
        <v>#REF!</v>
      </c>
      <c r="O163" s="25" t="e">
        <f t="shared" si="73"/>
        <v>#REF!</v>
      </c>
      <c r="P163" s="25" t="e">
        <f t="shared" si="73"/>
        <v>#REF!</v>
      </c>
      <c r="Q163" s="25" t="e">
        <f t="shared" si="73"/>
        <v>#REF!</v>
      </c>
      <c r="R163" s="25">
        <f t="shared" si="73"/>
        <v>187.1</v>
      </c>
      <c r="S163" s="16">
        <f t="shared" si="60"/>
        <v>-26.900000000000006</v>
      </c>
    </row>
    <row r="164" spans="1:19" s="12" customFormat="1" ht="30">
      <c r="A164" s="56"/>
      <c r="B164" s="11" t="s">
        <v>340</v>
      </c>
      <c r="C164" s="32" t="s">
        <v>35</v>
      </c>
      <c r="D164" s="23" t="s">
        <v>25</v>
      </c>
      <c r="E164" s="23" t="s">
        <v>26</v>
      </c>
      <c r="F164" s="24" t="s">
        <v>341</v>
      </c>
      <c r="G164" s="23"/>
      <c r="H164" s="25">
        <f>H165</f>
        <v>214</v>
      </c>
      <c r="I164" s="25" t="e">
        <f aca="true" t="shared" si="74" ref="I164:R164">I165</f>
        <v>#REF!</v>
      </c>
      <c r="J164" s="25" t="e">
        <f t="shared" si="74"/>
        <v>#REF!</v>
      </c>
      <c r="K164" s="25" t="e">
        <f t="shared" si="74"/>
        <v>#REF!</v>
      </c>
      <c r="L164" s="25" t="e">
        <f t="shared" si="74"/>
        <v>#REF!</v>
      </c>
      <c r="M164" s="25" t="e">
        <f t="shared" si="74"/>
        <v>#REF!</v>
      </c>
      <c r="N164" s="25" t="e">
        <f t="shared" si="74"/>
        <v>#REF!</v>
      </c>
      <c r="O164" s="25" t="e">
        <f t="shared" si="74"/>
        <v>#REF!</v>
      </c>
      <c r="P164" s="25" t="e">
        <f t="shared" si="74"/>
        <v>#REF!</v>
      </c>
      <c r="Q164" s="25" t="e">
        <f t="shared" si="74"/>
        <v>#REF!</v>
      </c>
      <c r="R164" s="25">
        <f t="shared" si="74"/>
        <v>187.1</v>
      </c>
      <c r="S164" s="16">
        <f t="shared" si="60"/>
        <v>-26.900000000000006</v>
      </c>
    </row>
    <row r="165" spans="1:19" s="1" customFormat="1" ht="93.75" customHeight="1">
      <c r="A165" s="56"/>
      <c r="B165" s="11" t="s">
        <v>89</v>
      </c>
      <c r="C165" s="32" t="s">
        <v>35</v>
      </c>
      <c r="D165" s="32" t="s">
        <v>25</v>
      </c>
      <c r="E165" s="32" t="s">
        <v>26</v>
      </c>
      <c r="F165" s="24" t="s">
        <v>342</v>
      </c>
      <c r="G165" s="23" t="s">
        <v>59</v>
      </c>
      <c r="H165" s="25">
        <v>214</v>
      </c>
      <c r="I165" s="26" t="e">
        <f>#REF!</f>
        <v>#REF!</v>
      </c>
      <c r="J165" s="27" t="e">
        <f>#REF!</f>
        <v>#REF!</v>
      </c>
      <c r="K165" s="27" t="e">
        <f>#REF!</f>
        <v>#REF!</v>
      </c>
      <c r="L165" s="27" t="e">
        <f>#REF!</f>
        <v>#REF!</v>
      </c>
      <c r="M165" s="27" t="e">
        <f>#REF!</f>
        <v>#REF!</v>
      </c>
      <c r="N165" s="27" t="e">
        <f>#REF!</f>
        <v>#REF!</v>
      </c>
      <c r="O165" s="27" t="e">
        <f>#REF!</f>
        <v>#REF!</v>
      </c>
      <c r="P165" s="27" t="e">
        <f>#REF!</f>
        <v>#REF!</v>
      </c>
      <c r="Q165" s="27" t="e">
        <f>#REF!</f>
        <v>#REF!</v>
      </c>
      <c r="R165" s="13">
        <v>187.1</v>
      </c>
      <c r="S165" s="16">
        <f t="shared" si="60"/>
        <v>-26.900000000000006</v>
      </c>
    </row>
    <row r="166" spans="1:19" s="2" customFormat="1" ht="15">
      <c r="A166" s="57"/>
      <c r="B166" s="19" t="s">
        <v>13</v>
      </c>
      <c r="C166" s="39" t="s">
        <v>35</v>
      </c>
      <c r="D166" s="20" t="s">
        <v>25</v>
      </c>
      <c r="E166" s="20" t="s">
        <v>52</v>
      </c>
      <c r="F166" s="21"/>
      <c r="G166" s="20"/>
      <c r="H166" s="22">
        <f>H170</f>
        <v>403.1</v>
      </c>
      <c r="I166" s="22" t="e">
        <f aca="true" t="shared" si="75" ref="I166:R166">I170</f>
        <v>#REF!</v>
      </c>
      <c r="J166" s="22" t="e">
        <f t="shared" si="75"/>
        <v>#REF!</v>
      </c>
      <c r="K166" s="22" t="e">
        <f t="shared" si="75"/>
        <v>#REF!</v>
      </c>
      <c r="L166" s="22" t="e">
        <f t="shared" si="75"/>
        <v>#REF!</v>
      </c>
      <c r="M166" s="22" t="e">
        <f t="shared" si="75"/>
        <v>#REF!</v>
      </c>
      <c r="N166" s="22" t="e">
        <f t="shared" si="75"/>
        <v>#REF!</v>
      </c>
      <c r="O166" s="22" t="e">
        <f t="shared" si="75"/>
        <v>#REF!</v>
      </c>
      <c r="P166" s="22" t="e">
        <f t="shared" si="75"/>
        <v>#REF!</v>
      </c>
      <c r="Q166" s="22" t="e">
        <f t="shared" si="75"/>
        <v>#REF!</v>
      </c>
      <c r="R166" s="22">
        <f t="shared" si="75"/>
        <v>387.2</v>
      </c>
      <c r="S166" s="16">
        <f t="shared" si="60"/>
        <v>-15.900000000000034</v>
      </c>
    </row>
    <row r="167" spans="1:19" s="1" customFormat="1" ht="30">
      <c r="A167" s="56"/>
      <c r="B167" s="11" t="s">
        <v>140</v>
      </c>
      <c r="C167" s="32" t="s">
        <v>35</v>
      </c>
      <c r="D167" s="23" t="s">
        <v>25</v>
      </c>
      <c r="E167" s="23" t="s">
        <v>52</v>
      </c>
      <c r="F167" s="24" t="s">
        <v>26</v>
      </c>
      <c r="G167" s="23"/>
      <c r="H167" s="25">
        <f>H168</f>
        <v>403.1</v>
      </c>
      <c r="I167" s="25" t="e">
        <f aca="true" t="shared" si="76" ref="I167:R167">I168</f>
        <v>#REF!</v>
      </c>
      <c r="J167" s="25" t="e">
        <f t="shared" si="76"/>
        <v>#REF!</v>
      </c>
      <c r="K167" s="25" t="e">
        <f t="shared" si="76"/>
        <v>#REF!</v>
      </c>
      <c r="L167" s="25" t="e">
        <f t="shared" si="76"/>
        <v>#REF!</v>
      </c>
      <c r="M167" s="25" t="e">
        <f t="shared" si="76"/>
        <v>#REF!</v>
      </c>
      <c r="N167" s="25" t="e">
        <f t="shared" si="76"/>
        <v>#REF!</v>
      </c>
      <c r="O167" s="25" t="e">
        <f t="shared" si="76"/>
        <v>#REF!</v>
      </c>
      <c r="P167" s="25" t="e">
        <f t="shared" si="76"/>
        <v>#REF!</v>
      </c>
      <c r="Q167" s="25" t="e">
        <f t="shared" si="76"/>
        <v>#REF!</v>
      </c>
      <c r="R167" s="25">
        <f t="shared" si="76"/>
        <v>387.2</v>
      </c>
      <c r="S167" s="16">
        <f t="shared" si="60"/>
        <v>-15.900000000000034</v>
      </c>
    </row>
    <row r="168" spans="1:19" s="1" customFormat="1" ht="30">
      <c r="A168" s="56"/>
      <c r="B168" s="11" t="s">
        <v>343</v>
      </c>
      <c r="C168" s="32" t="s">
        <v>35</v>
      </c>
      <c r="D168" s="23" t="s">
        <v>25</v>
      </c>
      <c r="E168" s="23" t="s">
        <v>52</v>
      </c>
      <c r="F168" s="24" t="s">
        <v>141</v>
      </c>
      <c r="G168" s="23"/>
      <c r="H168" s="25">
        <f>H170</f>
        <v>403.1</v>
      </c>
      <c r="I168" s="25" t="e">
        <f aca="true" t="shared" si="77" ref="I168:R168">I170</f>
        <v>#REF!</v>
      </c>
      <c r="J168" s="25" t="e">
        <f t="shared" si="77"/>
        <v>#REF!</v>
      </c>
      <c r="K168" s="25" t="e">
        <f t="shared" si="77"/>
        <v>#REF!</v>
      </c>
      <c r="L168" s="25" t="e">
        <f t="shared" si="77"/>
        <v>#REF!</v>
      </c>
      <c r="M168" s="25" t="e">
        <f t="shared" si="77"/>
        <v>#REF!</v>
      </c>
      <c r="N168" s="25" t="e">
        <f t="shared" si="77"/>
        <v>#REF!</v>
      </c>
      <c r="O168" s="25" t="e">
        <f t="shared" si="77"/>
        <v>#REF!</v>
      </c>
      <c r="P168" s="25" t="e">
        <f t="shared" si="77"/>
        <v>#REF!</v>
      </c>
      <c r="Q168" s="25" t="e">
        <f t="shared" si="77"/>
        <v>#REF!</v>
      </c>
      <c r="R168" s="25">
        <f t="shared" si="77"/>
        <v>387.2</v>
      </c>
      <c r="S168" s="16">
        <f t="shared" si="60"/>
        <v>-15.900000000000034</v>
      </c>
    </row>
    <row r="169" spans="1:19" s="1" customFormat="1" ht="30">
      <c r="A169" s="56"/>
      <c r="B169" s="11" t="s">
        <v>340</v>
      </c>
      <c r="C169" s="32" t="s">
        <v>35</v>
      </c>
      <c r="D169" s="23" t="s">
        <v>25</v>
      </c>
      <c r="E169" s="23" t="s">
        <v>52</v>
      </c>
      <c r="F169" s="24" t="s">
        <v>341</v>
      </c>
      <c r="G169" s="23"/>
      <c r="H169" s="25">
        <f>H170</f>
        <v>403.1</v>
      </c>
      <c r="I169" s="25" t="e">
        <f aca="true" t="shared" si="78" ref="I169:R169">I170</f>
        <v>#REF!</v>
      </c>
      <c r="J169" s="25" t="e">
        <f t="shared" si="78"/>
        <v>#REF!</v>
      </c>
      <c r="K169" s="25" t="e">
        <f t="shared" si="78"/>
        <v>#REF!</v>
      </c>
      <c r="L169" s="25" t="e">
        <f t="shared" si="78"/>
        <v>#REF!</v>
      </c>
      <c r="M169" s="25" t="e">
        <f t="shared" si="78"/>
        <v>#REF!</v>
      </c>
      <c r="N169" s="25" t="e">
        <f t="shared" si="78"/>
        <v>#REF!</v>
      </c>
      <c r="O169" s="25" t="e">
        <f t="shared" si="78"/>
        <v>#REF!</v>
      </c>
      <c r="P169" s="25" t="e">
        <f t="shared" si="78"/>
        <v>#REF!</v>
      </c>
      <c r="Q169" s="25" t="e">
        <f t="shared" si="78"/>
        <v>#REF!</v>
      </c>
      <c r="R169" s="25">
        <f t="shared" si="78"/>
        <v>387.2</v>
      </c>
      <c r="S169" s="16">
        <f t="shared" si="60"/>
        <v>-15.900000000000034</v>
      </c>
    </row>
    <row r="170" spans="1:19" s="1" customFormat="1" ht="90">
      <c r="A170" s="56"/>
      <c r="B170" s="11" t="s">
        <v>89</v>
      </c>
      <c r="C170" s="32" t="s">
        <v>35</v>
      </c>
      <c r="D170" s="32" t="s">
        <v>25</v>
      </c>
      <c r="E170" s="32" t="s">
        <v>52</v>
      </c>
      <c r="F170" s="24" t="s">
        <v>342</v>
      </c>
      <c r="G170" s="23" t="s">
        <v>59</v>
      </c>
      <c r="H170" s="25">
        <v>403.1</v>
      </c>
      <c r="I170" s="26" t="e">
        <f>#REF!</f>
        <v>#REF!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27" t="e">
        <f>#REF!</f>
        <v>#REF!</v>
      </c>
      <c r="N170" s="27" t="e">
        <f>#REF!</f>
        <v>#REF!</v>
      </c>
      <c r="O170" s="27" t="e">
        <f>#REF!</f>
        <v>#REF!</v>
      </c>
      <c r="P170" s="27" t="e">
        <f>#REF!</f>
        <v>#REF!</v>
      </c>
      <c r="Q170" s="27" t="e">
        <f>#REF!</f>
        <v>#REF!</v>
      </c>
      <c r="R170" s="13">
        <v>387.2</v>
      </c>
      <c r="S170" s="16">
        <f t="shared" si="60"/>
        <v>-15.900000000000034</v>
      </c>
    </row>
    <row r="171" spans="1:19" s="1" customFormat="1" ht="15">
      <c r="A171" s="56"/>
      <c r="B171" s="14" t="s">
        <v>1</v>
      </c>
      <c r="C171" s="32" t="s">
        <v>35</v>
      </c>
      <c r="D171" s="36" t="s">
        <v>32</v>
      </c>
      <c r="E171" s="36"/>
      <c r="F171" s="37"/>
      <c r="G171" s="36"/>
      <c r="H171" s="16">
        <f>H172</f>
        <v>12326.7</v>
      </c>
      <c r="I171" s="16">
        <f aca="true" t="shared" si="79" ref="I171:R171">I172</f>
        <v>0</v>
      </c>
      <c r="J171" s="16">
        <f t="shared" si="79"/>
        <v>0</v>
      </c>
      <c r="K171" s="16">
        <f t="shared" si="79"/>
        <v>0</v>
      </c>
      <c r="L171" s="16">
        <f t="shared" si="79"/>
        <v>0</v>
      </c>
      <c r="M171" s="16">
        <f t="shared" si="79"/>
        <v>0</v>
      </c>
      <c r="N171" s="16">
        <f t="shared" si="79"/>
        <v>0</v>
      </c>
      <c r="O171" s="16">
        <f t="shared" si="79"/>
        <v>0</v>
      </c>
      <c r="P171" s="16">
        <f t="shared" si="79"/>
        <v>0</v>
      </c>
      <c r="Q171" s="16">
        <f t="shared" si="79"/>
        <v>0</v>
      </c>
      <c r="R171" s="16">
        <f t="shared" si="79"/>
        <v>12185.6</v>
      </c>
      <c r="S171" s="16">
        <f t="shared" si="60"/>
        <v>-141.10000000000036</v>
      </c>
    </row>
    <row r="172" spans="1:19" s="1" customFormat="1" ht="15">
      <c r="A172" s="56"/>
      <c r="B172" s="38" t="s">
        <v>14</v>
      </c>
      <c r="C172" s="32" t="s">
        <v>35</v>
      </c>
      <c r="D172" s="39" t="s">
        <v>32</v>
      </c>
      <c r="E172" s="39" t="s">
        <v>29</v>
      </c>
      <c r="F172" s="70"/>
      <c r="G172" s="69"/>
      <c r="H172" s="22">
        <f>SUM(H176:H181)</f>
        <v>12326.7</v>
      </c>
      <c r="I172" s="22">
        <f aca="true" t="shared" si="80" ref="I172:R172">SUM(I176:I181)</f>
        <v>0</v>
      </c>
      <c r="J172" s="22">
        <f t="shared" si="80"/>
        <v>0</v>
      </c>
      <c r="K172" s="22">
        <f t="shared" si="80"/>
        <v>0</v>
      </c>
      <c r="L172" s="22">
        <f t="shared" si="80"/>
        <v>0</v>
      </c>
      <c r="M172" s="22">
        <f t="shared" si="80"/>
        <v>0</v>
      </c>
      <c r="N172" s="22">
        <f t="shared" si="80"/>
        <v>0</v>
      </c>
      <c r="O172" s="22">
        <f t="shared" si="80"/>
        <v>0</v>
      </c>
      <c r="P172" s="22">
        <f t="shared" si="80"/>
        <v>0</v>
      </c>
      <c r="Q172" s="22">
        <f t="shared" si="80"/>
        <v>0</v>
      </c>
      <c r="R172" s="22">
        <f t="shared" si="80"/>
        <v>12185.6</v>
      </c>
      <c r="S172" s="16">
        <f t="shared" si="60"/>
        <v>-141.10000000000036</v>
      </c>
    </row>
    <row r="173" spans="1:19" s="1" customFormat="1" ht="15">
      <c r="A173" s="56"/>
      <c r="B173" s="41" t="s">
        <v>129</v>
      </c>
      <c r="C173" s="32" t="s">
        <v>35</v>
      </c>
      <c r="D173" s="32" t="s">
        <v>32</v>
      </c>
      <c r="E173" s="32" t="s">
        <v>29</v>
      </c>
      <c r="F173" s="42" t="s">
        <v>28</v>
      </c>
      <c r="G173" s="32"/>
      <c r="H173" s="25">
        <f>H174</f>
        <v>12326.7</v>
      </c>
      <c r="I173" s="25">
        <f aca="true" t="shared" si="81" ref="I173:R174">I174</f>
        <v>0</v>
      </c>
      <c r="J173" s="25">
        <f t="shared" si="81"/>
        <v>0</v>
      </c>
      <c r="K173" s="25">
        <f t="shared" si="81"/>
        <v>0</v>
      </c>
      <c r="L173" s="25">
        <f t="shared" si="81"/>
        <v>0</v>
      </c>
      <c r="M173" s="25">
        <f t="shared" si="81"/>
        <v>0</v>
      </c>
      <c r="N173" s="25">
        <f t="shared" si="81"/>
        <v>0</v>
      </c>
      <c r="O173" s="25">
        <f t="shared" si="81"/>
        <v>0</v>
      </c>
      <c r="P173" s="25">
        <f t="shared" si="81"/>
        <v>0</v>
      </c>
      <c r="Q173" s="25">
        <f t="shared" si="81"/>
        <v>0</v>
      </c>
      <c r="R173" s="25">
        <f t="shared" si="81"/>
        <v>12185.6</v>
      </c>
      <c r="S173" s="16">
        <f t="shared" si="60"/>
        <v>-141.10000000000036</v>
      </c>
    </row>
    <row r="174" spans="1:19" s="1" customFormat="1" ht="60">
      <c r="A174" s="56"/>
      <c r="B174" s="41" t="s">
        <v>130</v>
      </c>
      <c r="C174" s="32" t="s">
        <v>35</v>
      </c>
      <c r="D174" s="32" t="s">
        <v>32</v>
      </c>
      <c r="E174" s="32" t="s">
        <v>29</v>
      </c>
      <c r="F174" s="42" t="s">
        <v>131</v>
      </c>
      <c r="G174" s="32"/>
      <c r="H174" s="25">
        <f>H175</f>
        <v>12326.7</v>
      </c>
      <c r="I174" s="25">
        <f t="shared" si="81"/>
        <v>0</v>
      </c>
      <c r="J174" s="25">
        <f t="shared" si="81"/>
        <v>0</v>
      </c>
      <c r="K174" s="25">
        <f t="shared" si="81"/>
        <v>0</v>
      </c>
      <c r="L174" s="25">
        <f t="shared" si="81"/>
        <v>0</v>
      </c>
      <c r="M174" s="25">
        <f t="shared" si="81"/>
        <v>0</v>
      </c>
      <c r="N174" s="25">
        <f t="shared" si="81"/>
        <v>0</v>
      </c>
      <c r="O174" s="25">
        <f t="shared" si="81"/>
        <v>0</v>
      </c>
      <c r="P174" s="25">
        <f t="shared" si="81"/>
        <v>0</v>
      </c>
      <c r="Q174" s="25">
        <f t="shared" si="81"/>
        <v>0</v>
      </c>
      <c r="R174" s="25">
        <f t="shared" si="81"/>
        <v>12185.6</v>
      </c>
      <c r="S174" s="16">
        <f t="shared" si="60"/>
        <v>-141.10000000000036</v>
      </c>
    </row>
    <row r="175" spans="1:19" s="1" customFormat="1" ht="30">
      <c r="A175" s="56"/>
      <c r="B175" s="41" t="s">
        <v>132</v>
      </c>
      <c r="C175" s="32" t="s">
        <v>35</v>
      </c>
      <c r="D175" s="32" t="s">
        <v>32</v>
      </c>
      <c r="E175" s="32" t="s">
        <v>29</v>
      </c>
      <c r="F175" s="42" t="s">
        <v>133</v>
      </c>
      <c r="G175" s="32"/>
      <c r="H175" s="25">
        <f>SUM(H176:H181)</f>
        <v>12326.7</v>
      </c>
      <c r="I175" s="25">
        <f aca="true" t="shared" si="82" ref="I175:R175">SUM(I176:I181)</f>
        <v>0</v>
      </c>
      <c r="J175" s="25">
        <f t="shared" si="82"/>
        <v>0</v>
      </c>
      <c r="K175" s="25">
        <f t="shared" si="82"/>
        <v>0</v>
      </c>
      <c r="L175" s="25">
        <f t="shared" si="82"/>
        <v>0</v>
      </c>
      <c r="M175" s="25">
        <f t="shared" si="82"/>
        <v>0</v>
      </c>
      <c r="N175" s="25">
        <f t="shared" si="82"/>
        <v>0</v>
      </c>
      <c r="O175" s="25">
        <f t="shared" si="82"/>
        <v>0</v>
      </c>
      <c r="P175" s="25">
        <f t="shared" si="82"/>
        <v>0</v>
      </c>
      <c r="Q175" s="25">
        <f t="shared" si="82"/>
        <v>0</v>
      </c>
      <c r="R175" s="25">
        <f t="shared" si="82"/>
        <v>12185.6</v>
      </c>
      <c r="S175" s="16">
        <f t="shared" si="60"/>
        <v>-141.10000000000036</v>
      </c>
    </row>
    <row r="176" spans="1:19" s="1" customFormat="1" ht="135">
      <c r="A176" s="56"/>
      <c r="B176" s="11" t="s">
        <v>134</v>
      </c>
      <c r="C176" s="32" t="s">
        <v>35</v>
      </c>
      <c r="D176" s="23" t="s">
        <v>32</v>
      </c>
      <c r="E176" s="23" t="s">
        <v>29</v>
      </c>
      <c r="F176" s="42" t="s">
        <v>135</v>
      </c>
      <c r="G176" s="32" t="s">
        <v>59</v>
      </c>
      <c r="H176" s="25">
        <f>148.4-46.4</f>
        <v>102</v>
      </c>
      <c r="I176" s="26"/>
      <c r="J176" s="27"/>
      <c r="K176" s="27"/>
      <c r="L176" s="27"/>
      <c r="M176" s="27"/>
      <c r="N176" s="27"/>
      <c r="O176" s="27"/>
      <c r="P176" s="27"/>
      <c r="Q176" s="27"/>
      <c r="R176" s="13">
        <v>102</v>
      </c>
      <c r="S176" s="16">
        <f t="shared" si="60"/>
        <v>0</v>
      </c>
    </row>
    <row r="177" spans="1:19" s="1" customFormat="1" ht="91.5" customHeight="1">
      <c r="A177" s="56"/>
      <c r="B177" s="11" t="s">
        <v>177</v>
      </c>
      <c r="C177" s="32" t="s">
        <v>35</v>
      </c>
      <c r="D177" s="23" t="s">
        <v>32</v>
      </c>
      <c r="E177" s="23" t="s">
        <v>29</v>
      </c>
      <c r="F177" s="24" t="s">
        <v>136</v>
      </c>
      <c r="G177" s="23" t="s">
        <v>59</v>
      </c>
      <c r="H177" s="25">
        <f>9788.4+80.7</f>
        <v>9869.1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13">
        <v>9869</v>
      </c>
      <c r="S177" s="16">
        <f t="shared" si="60"/>
        <v>-0.1000000000003638</v>
      </c>
    </row>
    <row r="178" spans="1:19" s="1" customFormat="1" ht="45">
      <c r="A178" s="56"/>
      <c r="B178" s="11" t="s">
        <v>178</v>
      </c>
      <c r="C178" s="32" t="s">
        <v>35</v>
      </c>
      <c r="D178" s="23" t="s">
        <v>32</v>
      </c>
      <c r="E178" s="23" t="s">
        <v>29</v>
      </c>
      <c r="F178" s="24" t="s">
        <v>137</v>
      </c>
      <c r="G178" s="23" t="s">
        <v>58</v>
      </c>
      <c r="H178" s="25">
        <f>1770.1+56.9+173.1-75.3</f>
        <v>1924.8</v>
      </c>
      <c r="I178" s="26"/>
      <c r="J178" s="27"/>
      <c r="K178" s="27"/>
      <c r="L178" s="27"/>
      <c r="M178" s="27"/>
      <c r="N178" s="27"/>
      <c r="O178" s="27"/>
      <c r="P178" s="27"/>
      <c r="Q178" s="27"/>
      <c r="R178" s="13">
        <v>1924.6</v>
      </c>
      <c r="S178" s="16">
        <f t="shared" si="60"/>
        <v>-0.20000000000004547</v>
      </c>
    </row>
    <row r="179" spans="1:19" s="1" customFormat="1" ht="45">
      <c r="A179" s="56"/>
      <c r="B179" s="11" t="s">
        <v>179</v>
      </c>
      <c r="C179" s="32" t="s">
        <v>35</v>
      </c>
      <c r="D179" s="23" t="s">
        <v>32</v>
      </c>
      <c r="E179" s="23" t="s">
        <v>29</v>
      </c>
      <c r="F179" s="24" t="s">
        <v>137</v>
      </c>
      <c r="G179" s="23" t="s">
        <v>54</v>
      </c>
      <c r="H179" s="25">
        <f>78.6-5.4</f>
        <v>73.19999999999999</v>
      </c>
      <c r="I179" s="26"/>
      <c r="J179" s="27"/>
      <c r="K179" s="27"/>
      <c r="L179" s="27"/>
      <c r="M179" s="27"/>
      <c r="N179" s="27"/>
      <c r="O179" s="27"/>
      <c r="P179" s="27"/>
      <c r="Q179" s="27"/>
      <c r="R179" s="13">
        <v>73.2</v>
      </c>
      <c r="S179" s="16">
        <f t="shared" si="60"/>
        <v>0</v>
      </c>
    </row>
    <row r="180" spans="1:19" s="1" customFormat="1" ht="105">
      <c r="A180" s="56"/>
      <c r="B180" s="11" t="s">
        <v>180</v>
      </c>
      <c r="C180" s="32" t="s">
        <v>35</v>
      </c>
      <c r="D180" s="23" t="s">
        <v>32</v>
      </c>
      <c r="E180" s="23" t="s">
        <v>29</v>
      </c>
      <c r="F180" s="24" t="s">
        <v>138</v>
      </c>
      <c r="G180" s="23" t="s">
        <v>59</v>
      </c>
      <c r="H180" s="25">
        <v>88</v>
      </c>
      <c r="I180" s="26"/>
      <c r="J180" s="27"/>
      <c r="K180" s="27"/>
      <c r="L180" s="27"/>
      <c r="M180" s="27"/>
      <c r="N180" s="27"/>
      <c r="O180" s="27"/>
      <c r="P180" s="27"/>
      <c r="Q180" s="27"/>
      <c r="R180" s="13">
        <v>20.8</v>
      </c>
      <c r="S180" s="16">
        <f t="shared" si="60"/>
        <v>-67.2</v>
      </c>
    </row>
    <row r="181" spans="1:19" s="1" customFormat="1" ht="75">
      <c r="A181" s="56"/>
      <c r="B181" s="11" t="s">
        <v>312</v>
      </c>
      <c r="C181" s="32" t="s">
        <v>35</v>
      </c>
      <c r="D181" s="32" t="s">
        <v>32</v>
      </c>
      <c r="E181" s="32" t="s">
        <v>29</v>
      </c>
      <c r="F181" s="24" t="s">
        <v>139</v>
      </c>
      <c r="G181" s="23" t="s">
        <v>58</v>
      </c>
      <c r="H181" s="25">
        <f>262+7.6</f>
        <v>269.6</v>
      </c>
      <c r="I181" s="26"/>
      <c r="J181" s="27"/>
      <c r="K181" s="27"/>
      <c r="L181" s="27"/>
      <c r="M181" s="27"/>
      <c r="N181" s="27"/>
      <c r="O181" s="27"/>
      <c r="P181" s="27"/>
      <c r="Q181" s="27"/>
      <c r="R181" s="13">
        <v>196</v>
      </c>
      <c r="S181" s="16">
        <f t="shared" si="60"/>
        <v>-73.60000000000002</v>
      </c>
    </row>
    <row r="182" spans="1:19" s="1" customFormat="1" ht="15">
      <c r="A182" s="56"/>
      <c r="B182" s="15" t="s">
        <v>7</v>
      </c>
      <c r="C182" s="36" t="s">
        <v>35</v>
      </c>
      <c r="D182" s="17" t="s">
        <v>31</v>
      </c>
      <c r="E182" s="17"/>
      <c r="F182" s="18"/>
      <c r="G182" s="17"/>
      <c r="H182" s="16">
        <f aca="true" t="shared" si="83" ref="H182:R182">H183+H211</f>
        <v>8562.2</v>
      </c>
      <c r="I182" s="16" t="e">
        <f t="shared" si="83"/>
        <v>#REF!</v>
      </c>
      <c r="J182" s="16" t="e">
        <f t="shared" si="83"/>
        <v>#REF!</v>
      </c>
      <c r="K182" s="16" t="e">
        <f t="shared" si="83"/>
        <v>#REF!</v>
      </c>
      <c r="L182" s="16" t="e">
        <f t="shared" si="83"/>
        <v>#REF!</v>
      </c>
      <c r="M182" s="16" t="e">
        <f t="shared" si="83"/>
        <v>#REF!</v>
      </c>
      <c r="N182" s="16" t="e">
        <f t="shared" si="83"/>
        <v>#REF!</v>
      </c>
      <c r="O182" s="16" t="e">
        <f t="shared" si="83"/>
        <v>#REF!</v>
      </c>
      <c r="P182" s="16" t="e">
        <f t="shared" si="83"/>
        <v>#REF!</v>
      </c>
      <c r="Q182" s="16" t="e">
        <f t="shared" si="83"/>
        <v>#REF!</v>
      </c>
      <c r="R182" s="16">
        <f t="shared" si="83"/>
        <v>8308.699999999999</v>
      </c>
      <c r="S182" s="16">
        <f t="shared" si="60"/>
        <v>-253.50000000000182</v>
      </c>
    </row>
    <row r="183" spans="1:19" s="2" customFormat="1" ht="15">
      <c r="A183" s="57"/>
      <c r="B183" s="19" t="s">
        <v>16</v>
      </c>
      <c r="C183" s="39" t="s">
        <v>35</v>
      </c>
      <c r="D183" s="20" t="s">
        <v>31</v>
      </c>
      <c r="E183" s="20" t="s">
        <v>25</v>
      </c>
      <c r="F183" s="21"/>
      <c r="G183" s="20"/>
      <c r="H183" s="22">
        <f>H184+H202+H208</f>
        <v>8272.900000000001</v>
      </c>
      <c r="I183" s="22" t="e">
        <f aca="true" t="shared" si="84" ref="I183:R183">I184+I202+I208</f>
        <v>#REF!</v>
      </c>
      <c r="J183" s="22" t="e">
        <f t="shared" si="84"/>
        <v>#REF!</v>
      </c>
      <c r="K183" s="22" t="e">
        <f t="shared" si="84"/>
        <v>#REF!</v>
      </c>
      <c r="L183" s="22" t="e">
        <f t="shared" si="84"/>
        <v>#REF!</v>
      </c>
      <c r="M183" s="22" t="e">
        <f t="shared" si="84"/>
        <v>#REF!</v>
      </c>
      <c r="N183" s="22" t="e">
        <f t="shared" si="84"/>
        <v>#REF!</v>
      </c>
      <c r="O183" s="22" t="e">
        <f t="shared" si="84"/>
        <v>#REF!</v>
      </c>
      <c r="P183" s="22" t="e">
        <f t="shared" si="84"/>
        <v>#REF!</v>
      </c>
      <c r="Q183" s="22" t="e">
        <f t="shared" si="84"/>
        <v>#REF!</v>
      </c>
      <c r="R183" s="22">
        <f t="shared" si="84"/>
        <v>8019.399999999999</v>
      </c>
      <c r="S183" s="16">
        <f t="shared" si="60"/>
        <v>-253.50000000000273</v>
      </c>
    </row>
    <row r="184" spans="1:19" s="2" customFormat="1" ht="30">
      <c r="A184" s="57"/>
      <c r="B184" s="11" t="s">
        <v>140</v>
      </c>
      <c r="C184" s="32" t="s">
        <v>35</v>
      </c>
      <c r="D184" s="23" t="s">
        <v>31</v>
      </c>
      <c r="E184" s="23" t="s">
        <v>25</v>
      </c>
      <c r="F184" s="24" t="s">
        <v>26</v>
      </c>
      <c r="G184" s="23"/>
      <c r="H184" s="25">
        <f>H185+H189+H192</f>
        <v>7332.000000000001</v>
      </c>
      <c r="I184" s="25" t="e">
        <f aca="true" t="shared" si="85" ref="I184:R184">I185+I189+I192</f>
        <v>#REF!</v>
      </c>
      <c r="J184" s="25" t="e">
        <f t="shared" si="85"/>
        <v>#REF!</v>
      </c>
      <c r="K184" s="25" t="e">
        <f t="shared" si="85"/>
        <v>#REF!</v>
      </c>
      <c r="L184" s="25" t="e">
        <f t="shared" si="85"/>
        <v>#REF!</v>
      </c>
      <c r="M184" s="25" t="e">
        <f t="shared" si="85"/>
        <v>#REF!</v>
      </c>
      <c r="N184" s="25" t="e">
        <f t="shared" si="85"/>
        <v>#REF!</v>
      </c>
      <c r="O184" s="25" t="e">
        <f t="shared" si="85"/>
        <v>#REF!</v>
      </c>
      <c r="P184" s="25" t="e">
        <f t="shared" si="85"/>
        <v>#REF!</v>
      </c>
      <c r="Q184" s="25" t="e">
        <f t="shared" si="85"/>
        <v>#REF!</v>
      </c>
      <c r="R184" s="25">
        <f t="shared" si="85"/>
        <v>7083.499999999999</v>
      </c>
      <c r="S184" s="16">
        <f t="shared" si="60"/>
        <v>-248.50000000000182</v>
      </c>
    </row>
    <row r="185" spans="1:19" s="2" customFormat="1" ht="15">
      <c r="A185" s="57"/>
      <c r="B185" s="11" t="s">
        <v>149</v>
      </c>
      <c r="C185" s="32" t="s">
        <v>35</v>
      </c>
      <c r="D185" s="23" t="s">
        <v>31</v>
      </c>
      <c r="E185" s="23" t="s">
        <v>25</v>
      </c>
      <c r="F185" s="24" t="s">
        <v>150</v>
      </c>
      <c r="G185" s="23"/>
      <c r="H185" s="25">
        <f>H186</f>
        <v>57.1</v>
      </c>
      <c r="I185" s="25">
        <f aca="true" t="shared" si="86" ref="I185:R185">I186</f>
        <v>0</v>
      </c>
      <c r="J185" s="25">
        <f t="shared" si="86"/>
        <v>0</v>
      </c>
      <c r="K185" s="25">
        <f t="shared" si="86"/>
        <v>0</v>
      </c>
      <c r="L185" s="25">
        <f t="shared" si="86"/>
        <v>0</v>
      </c>
      <c r="M185" s="25">
        <f t="shared" si="86"/>
        <v>0</v>
      </c>
      <c r="N185" s="25">
        <f t="shared" si="86"/>
        <v>0</v>
      </c>
      <c r="O185" s="25">
        <f t="shared" si="86"/>
        <v>0</v>
      </c>
      <c r="P185" s="25">
        <f t="shared" si="86"/>
        <v>0</v>
      </c>
      <c r="Q185" s="25">
        <f t="shared" si="86"/>
        <v>0</v>
      </c>
      <c r="R185" s="25">
        <f t="shared" si="86"/>
        <v>56.9</v>
      </c>
      <c r="S185" s="16">
        <f t="shared" si="60"/>
        <v>-0.20000000000000284</v>
      </c>
    </row>
    <row r="186" spans="1:19" s="2" customFormat="1" ht="30">
      <c r="A186" s="57"/>
      <c r="B186" s="11" t="s">
        <v>280</v>
      </c>
      <c r="C186" s="32" t="s">
        <v>35</v>
      </c>
      <c r="D186" s="23" t="s">
        <v>31</v>
      </c>
      <c r="E186" s="23" t="s">
        <v>25</v>
      </c>
      <c r="F186" s="24" t="s">
        <v>151</v>
      </c>
      <c r="G186" s="23"/>
      <c r="H186" s="25">
        <f>H187+H188</f>
        <v>57.1</v>
      </c>
      <c r="I186" s="25">
        <f aca="true" t="shared" si="87" ref="I186:R186">I187+I188</f>
        <v>0</v>
      </c>
      <c r="J186" s="25">
        <f t="shared" si="87"/>
        <v>0</v>
      </c>
      <c r="K186" s="25">
        <f t="shared" si="87"/>
        <v>0</v>
      </c>
      <c r="L186" s="25">
        <f t="shared" si="87"/>
        <v>0</v>
      </c>
      <c r="M186" s="25">
        <f t="shared" si="87"/>
        <v>0</v>
      </c>
      <c r="N186" s="25">
        <f t="shared" si="87"/>
        <v>0</v>
      </c>
      <c r="O186" s="25">
        <f t="shared" si="87"/>
        <v>0</v>
      </c>
      <c r="P186" s="25">
        <f t="shared" si="87"/>
        <v>0</v>
      </c>
      <c r="Q186" s="25">
        <f t="shared" si="87"/>
        <v>0</v>
      </c>
      <c r="R186" s="25">
        <f t="shared" si="87"/>
        <v>56.9</v>
      </c>
      <c r="S186" s="16">
        <f t="shared" si="60"/>
        <v>-0.20000000000000284</v>
      </c>
    </row>
    <row r="187" spans="1:19" s="2" customFormat="1" ht="45">
      <c r="A187" s="57"/>
      <c r="B187" s="11" t="s">
        <v>313</v>
      </c>
      <c r="C187" s="32" t="s">
        <v>35</v>
      </c>
      <c r="D187" s="23" t="s">
        <v>31</v>
      </c>
      <c r="E187" s="23" t="s">
        <v>25</v>
      </c>
      <c r="F187" s="24" t="s">
        <v>152</v>
      </c>
      <c r="G187" s="23" t="s">
        <v>58</v>
      </c>
      <c r="H187" s="25">
        <v>50</v>
      </c>
      <c r="I187" s="63"/>
      <c r="J187" s="64"/>
      <c r="K187" s="64"/>
      <c r="L187" s="64"/>
      <c r="M187" s="64"/>
      <c r="N187" s="64"/>
      <c r="O187" s="64"/>
      <c r="P187" s="64"/>
      <c r="Q187" s="64"/>
      <c r="R187" s="65">
        <v>49.8</v>
      </c>
      <c r="S187" s="16">
        <f t="shared" si="60"/>
        <v>-0.20000000000000284</v>
      </c>
    </row>
    <row r="188" spans="1:19" s="2" customFormat="1" ht="45">
      <c r="A188" s="57"/>
      <c r="B188" s="11" t="s">
        <v>472</v>
      </c>
      <c r="C188" s="32" t="s">
        <v>35</v>
      </c>
      <c r="D188" s="23" t="s">
        <v>31</v>
      </c>
      <c r="E188" s="23" t="s">
        <v>25</v>
      </c>
      <c r="F188" s="24" t="s">
        <v>471</v>
      </c>
      <c r="G188" s="23" t="s">
        <v>58</v>
      </c>
      <c r="H188" s="25">
        <v>7.1</v>
      </c>
      <c r="I188" s="34"/>
      <c r="J188" s="35"/>
      <c r="K188" s="35"/>
      <c r="L188" s="35"/>
      <c r="M188" s="35"/>
      <c r="N188" s="35"/>
      <c r="O188" s="35"/>
      <c r="P188" s="35"/>
      <c r="Q188" s="35"/>
      <c r="R188" s="65">
        <v>7.1</v>
      </c>
      <c r="S188" s="16">
        <f t="shared" si="60"/>
        <v>0</v>
      </c>
    </row>
    <row r="189" spans="1:19" s="12" customFormat="1" ht="30">
      <c r="A189" s="56"/>
      <c r="B189" s="11" t="s">
        <v>142</v>
      </c>
      <c r="C189" s="32" t="s">
        <v>35</v>
      </c>
      <c r="D189" s="23" t="s">
        <v>31</v>
      </c>
      <c r="E189" s="23" t="s">
        <v>25</v>
      </c>
      <c r="F189" s="24" t="s">
        <v>143</v>
      </c>
      <c r="G189" s="23"/>
      <c r="H189" s="25">
        <f>H190</f>
        <v>172.4</v>
      </c>
      <c r="I189" s="25">
        <f aca="true" t="shared" si="88" ref="I189:R190">I190</f>
        <v>0</v>
      </c>
      <c r="J189" s="25">
        <f t="shared" si="88"/>
        <v>0</v>
      </c>
      <c r="K189" s="25">
        <f t="shared" si="88"/>
        <v>0</v>
      </c>
      <c r="L189" s="25">
        <f t="shared" si="88"/>
        <v>0</v>
      </c>
      <c r="M189" s="25">
        <f t="shared" si="88"/>
        <v>0</v>
      </c>
      <c r="N189" s="25">
        <f t="shared" si="88"/>
        <v>0</v>
      </c>
      <c r="O189" s="25">
        <f t="shared" si="88"/>
        <v>0</v>
      </c>
      <c r="P189" s="25">
        <f t="shared" si="88"/>
        <v>0</v>
      </c>
      <c r="Q189" s="25">
        <f t="shared" si="88"/>
        <v>0</v>
      </c>
      <c r="R189" s="25">
        <f t="shared" si="88"/>
        <v>169.5</v>
      </c>
      <c r="S189" s="16">
        <f t="shared" si="60"/>
        <v>-2.9000000000000057</v>
      </c>
    </row>
    <row r="190" spans="1:19" s="12" customFormat="1" ht="30">
      <c r="A190" s="56"/>
      <c r="B190" s="11" t="s">
        <v>144</v>
      </c>
      <c r="C190" s="32" t="s">
        <v>35</v>
      </c>
      <c r="D190" s="23" t="s">
        <v>31</v>
      </c>
      <c r="E190" s="23" t="s">
        <v>25</v>
      </c>
      <c r="F190" s="24" t="s">
        <v>145</v>
      </c>
      <c r="G190" s="23"/>
      <c r="H190" s="25">
        <f>H191</f>
        <v>172.4</v>
      </c>
      <c r="I190" s="25">
        <f t="shared" si="88"/>
        <v>0</v>
      </c>
      <c r="J190" s="25">
        <f t="shared" si="88"/>
        <v>0</v>
      </c>
      <c r="K190" s="25">
        <f t="shared" si="88"/>
        <v>0</v>
      </c>
      <c r="L190" s="25">
        <f t="shared" si="88"/>
        <v>0</v>
      </c>
      <c r="M190" s="25">
        <f t="shared" si="88"/>
        <v>0</v>
      </c>
      <c r="N190" s="25">
        <f t="shared" si="88"/>
        <v>0</v>
      </c>
      <c r="O190" s="25">
        <f t="shared" si="88"/>
        <v>0</v>
      </c>
      <c r="P190" s="25">
        <f t="shared" si="88"/>
        <v>0</v>
      </c>
      <c r="Q190" s="25">
        <f t="shared" si="88"/>
        <v>0</v>
      </c>
      <c r="R190" s="25">
        <f t="shared" si="88"/>
        <v>169.5</v>
      </c>
      <c r="S190" s="16">
        <f t="shared" si="60"/>
        <v>-2.9000000000000057</v>
      </c>
    </row>
    <row r="191" spans="1:19" s="1" customFormat="1" ht="42.75" customHeight="1">
      <c r="A191" s="56"/>
      <c r="B191" s="11" t="s">
        <v>313</v>
      </c>
      <c r="C191" s="32" t="s">
        <v>35</v>
      </c>
      <c r="D191" s="23" t="s">
        <v>31</v>
      </c>
      <c r="E191" s="23" t="s">
        <v>25</v>
      </c>
      <c r="F191" s="24" t="s">
        <v>146</v>
      </c>
      <c r="G191" s="23" t="s">
        <v>58</v>
      </c>
      <c r="H191" s="25">
        <f>100+72.4</f>
        <v>172.4</v>
      </c>
      <c r="I191" s="26"/>
      <c r="J191" s="27"/>
      <c r="K191" s="27"/>
      <c r="L191" s="27"/>
      <c r="M191" s="27"/>
      <c r="N191" s="27"/>
      <c r="O191" s="27"/>
      <c r="P191" s="27"/>
      <c r="Q191" s="27"/>
      <c r="R191" s="13">
        <v>169.5</v>
      </c>
      <c r="S191" s="16">
        <f t="shared" si="60"/>
        <v>-2.9000000000000057</v>
      </c>
    </row>
    <row r="192" spans="1:19" s="1" customFormat="1" ht="30" customHeight="1">
      <c r="A192" s="56"/>
      <c r="B192" s="11" t="s">
        <v>343</v>
      </c>
      <c r="C192" s="32" t="s">
        <v>35</v>
      </c>
      <c r="D192" s="23" t="s">
        <v>31</v>
      </c>
      <c r="E192" s="23" t="s">
        <v>25</v>
      </c>
      <c r="F192" s="24" t="s">
        <v>147</v>
      </c>
      <c r="G192" s="23"/>
      <c r="H192" s="25">
        <f>H194+H195+H197+H198+H199+H200+H201+H196</f>
        <v>7102.500000000001</v>
      </c>
      <c r="I192" s="25" t="e">
        <f aca="true" t="shared" si="89" ref="I192:R192">I194+I195+I197+I198+I199+I200+I201+I196</f>
        <v>#REF!</v>
      </c>
      <c r="J192" s="25" t="e">
        <f t="shared" si="89"/>
        <v>#REF!</v>
      </c>
      <c r="K192" s="25" t="e">
        <f t="shared" si="89"/>
        <v>#REF!</v>
      </c>
      <c r="L192" s="25" t="e">
        <f t="shared" si="89"/>
        <v>#REF!</v>
      </c>
      <c r="M192" s="25" t="e">
        <f t="shared" si="89"/>
        <v>#REF!</v>
      </c>
      <c r="N192" s="25" t="e">
        <f t="shared" si="89"/>
        <v>#REF!</v>
      </c>
      <c r="O192" s="25" t="e">
        <f t="shared" si="89"/>
        <v>#REF!</v>
      </c>
      <c r="P192" s="25" t="e">
        <f t="shared" si="89"/>
        <v>#REF!</v>
      </c>
      <c r="Q192" s="25" t="e">
        <f t="shared" si="89"/>
        <v>#REF!</v>
      </c>
      <c r="R192" s="25">
        <f t="shared" si="89"/>
        <v>6857.099999999999</v>
      </c>
      <c r="S192" s="16">
        <f t="shared" si="60"/>
        <v>-245.40000000000146</v>
      </c>
    </row>
    <row r="193" spans="1:19" s="1" customFormat="1" ht="32.25" customHeight="1">
      <c r="A193" s="56"/>
      <c r="B193" s="11" t="s">
        <v>340</v>
      </c>
      <c r="C193" s="32" t="s">
        <v>35</v>
      </c>
      <c r="D193" s="23" t="s">
        <v>31</v>
      </c>
      <c r="E193" s="23" t="s">
        <v>25</v>
      </c>
      <c r="F193" s="24" t="s">
        <v>344</v>
      </c>
      <c r="G193" s="23"/>
      <c r="H193" s="25">
        <f>H194+H195+H196+H197+H198+H199+H200+H201</f>
        <v>7102.500000000001</v>
      </c>
      <c r="I193" s="25" t="e">
        <f aca="true" t="shared" si="90" ref="I193:R193">I194+I195+I196+I197+I198+I199+I200+I201</f>
        <v>#REF!</v>
      </c>
      <c r="J193" s="25" t="e">
        <f t="shared" si="90"/>
        <v>#REF!</v>
      </c>
      <c r="K193" s="25" t="e">
        <f t="shared" si="90"/>
        <v>#REF!</v>
      </c>
      <c r="L193" s="25" t="e">
        <f t="shared" si="90"/>
        <v>#REF!</v>
      </c>
      <c r="M193" s="25" t="e">
        <f t="shared" si="90"/>
        <v>#REF!</v>
      </c>
      <c r="N193" s="25" t="e">
        <f t="shared" si="90"/>
        <v>#REF!</v>
      </c>
      <c r="O193" s="25" t="e">
        <f t="shared" si="90"/>
        <v>#REF!</v>
      </c>
      <c r="P193" s="25" t="e">
        <f t="shared" si="90"/>
        <v>#REF!</v>
      </c>
      <c r="Q193" s="25" t="e">
        <f t="shared" si="90"/>
        <v>#REF!</v>
      </c>
      <c r="R193" s="25">
        <f t="shared" si="90"/>
        <v>6857.099999999999</v>
      </c>
      <c r="S193" s="16">
        <f t="shared" si="60"/>
        <v>-245.40000000000146</v>
      </c>
    </row>
    <row r="194" spans="1:19" s="1" customFormat="1" ht="75.75" customHeight="1">
      <c r="A194" s="56"/>
      <c r="B194" s="11" t="s">
        <v>176</v>
      </c>
      <c r="C194" s="32" t="s">
        <v>35</v>
      </c>
      <c r="D194" s="23" t="s">
        <v>31</v>
      </c>
      <c r="E194" s="23" t="s">
        <v>25</v>
      </c>
      <c r="F194" s="24" t="s">
        <v>345</v>
      </c>
      <c r="G194" s="23" t="s">
        <v>59</v>
      </c>
      <c r="H194" s="25">
        <f>6105.9-1129.9+4.2+1112.9-619.6-188.1</f>
        <v>5285.4</v>
      </c>
      <c r="I194" s="26" t="e">
        <f>I195+#REF!+#REF!+#REF!+#REF!</f>
        <v>#REF!</v>
      </c>
      <c r="J194" s="27" t="e">
        <f>J195+#REF!+#REF!+#REF!+#REF!</f>
        <v>#REF!</v>
      </c>
      <c r="K194" s="27" t="e">
        <f>K195+#REF!+#REF!+#REF!+#REF!</f>
        <v>#REF!</v>
      </c>
      <c r="L194" s="27" t="e">
        <f>L195+#REF!+#REF!+#REF!+#REF!</f>
        <v>#REF!</v>
      </c>
      <c r="M194" s="27" t="e">
        <f>M195+#REF!+#REF!+#REF!+#REF!</f>
        <v>#REF!</v>
      </c>
      <c r="N194" s="27" t="e">
        <f>N195+#REF!+#REF!+#REF!+#REF!</f>
        <v>#REF!</v>
      </c>
      <c r="O194" s="27" t="e">
        <f>O195+#REF!+#REF!+#REF!+#REF!</f>
        <v>#REF!</v>
      </c>
      <c r="P194" s="27" t="e">
        <f>P195+#REF!+#REF!+#REF!+#REF!</f>
        <v>#REF!</v>
      </c>
      <c r="Q194" s="27" t="e">
        <f>Q195+#REF!+#REF!+#REF!+#REF!</f>
        <v>#REF!</v>
      </c>
      <c r="R194" s="13">
        <v>5148.5</v>
      </c>
      <c r="S194" s="16">
        <f t="shared" si="60"/>
        <v>-136.89999999999964</v>
      </c>
    </row>
    <row r="195" spans="1:19" s="1" customFormat="1" ht="47.25" customHeight="1">
      <c r="A195" s="56"/>
      <c r="B195" s="11" t="s">
        <v>175</v>
      </c>
      <c r="C195" s="32" t="s">
        <v>35</v>
      </c>
      <c r="D195" s="23" t="s">
        <v>31</v>
      </c>
      <c r="E195" s="23" t="s">
        <v>25</v>
      </c>
      <c r="F195" s="24" t="s">
        <v>345</v>
      </c>
      <c r="G195" s="23" t="s">
        <v>58</v>
      </c>
      <c r="H195" s="25">
        <f>1757.2-255.3-4.2-680+97+71.6+255.3-103+470.9-148.3+297.2-273.6-0.1</f>
        <v>1484.7000000000003</v>
      </c>
      <c r="I195" s="26" t="e">
        <f>I199+#REF!+#REF!</f>
        <v>#REF!</v>
      </c>
      <c r="J195" s="27" t="e">
        <f>J199+#REF!+#REF!</f>
        <v>#REF!</v>
      </c>
      <c r="K195" s="27" t="e">
        <f>K199+#REF!+#REF!</f>
        <v>#REF!</v>
      </c>
      <c r="L195" s="27" t="e">
        <f>L199+#REF!+#REF!</f>
        <v>#REF!</v>
      </c>
      <c r="M195" s="27" t="e">
        <f>M199+#REF!+#REF!</f>
        <v>#REF!</v>
      </c>
      <c r="N195" s="27" t="e">
        <f>N199+#REF!+#REF!</f>
        <v>#REF!</v>
      </c>
      <c r="O195" s="27" t="e">
        <f>O199+#REF!+#REF!</f>
        <v>#REF!</v>
      </c>
      <c r="P195" s="27" t="e">
        <f>P199+#REF!+#REF!</f>
        <v>#REF!</v>
      </c>
      <c r="Q195" s="27" t="e">
        <f>Q199+#REF!+#REF!</f>
        <v>#REF!</v>
      </c>
      <c r="R195" s="13">
        <v>1407.9</v>
      </c>
      <c r="S195" s="16">
        <f t="shared" si="60"/>
        <v>-76.80000000000018</v>
      </c>
    </row>
    <row r="196" spans="1:19" s="1" customFormat="1" ht="47.25" customHeight="1">
      <c r="A196" s="56"/>
      <c r="B196" s="11" t="s">
        <v>403</v>
      </c>
      <c r="C196" s="32" t="s">
        <v>35</v>
      </c>
      <c r="D196" s="23" t="s">
        <v>31</v>
      </c>
      <c r="E196" s="23" t="s">
        <v>25</v>
      </c>
      <c r="F196" s="24" t="s">
        <v>345</v>
      </c>
      <c r="G196" s="23" t="s">
        <v>60</v>
      </c>
      <c r="H196" s="25">
        <f>17-17</f>
        <v>0</v>
      </c>
      <c r="I196" s="26"/>
      <c r="J196" s="27"/>
      <c r="K196" s="27"/>
      <c r="L196" s="27"/>
      <c r="M196" s="27"/>
      <c r="N196" s="27"/>
      <c r="O196" s="27"/>
      <c r="P196" s="27"/>
      <c r="Q196" s="27"/>
      <c r="R196" s="13"/>
      <c r="S196" s="16">
        <f t="shared" si="60"/>
        <v>0</v>
      </c>
    </row>
    <row r="197" spans="1:19" s="1" customFormat="1" ht="47.25" customHeight="1">
      <c r="A197" s="56"/>
      <c r="B197" s="11" t="s">
        <v>212</v>
      </c>
      <c r="C197" s="32" t="s">
        <v>35</v>
      </c>
      <c r="D197" s="23" t="s">
        <v>31</v>
      </c>
      <c r="E197" s="23" t="s">
        <v>25</v>
      </c>
      <c r="F197" s="24" t="s">
        <v>345</v>
      </c>
      <c r="G197" s="23" t="s">
        <v>54</v>
      </c>
      <c r="H197" s="25">
        <f>227.1+33</f>
        <v>260.1</v>
      </c>
      <c r="I197" s="26"/>
      <c r="J197" s="27"/>
      <c r="K197" s="27"/>
      <c r="L197" s="27"/>
      <c r="M197" s="27"/>
      <c r="N197" s="27"/>
      <c r="O197" s="27"/>
      <c r="P197" s="27"/>
      <c r="Q197" s="27"/>
      <c r="R197" s="13">
        <v>248</v>
      </c>
      <c r="S197" s="16">
        <f t="shared" si="60"/>
        <v>-12.100000000000023</v>
      </c>
    </row>
    <row r="198" spans="1:19" s="1" customFormat="1" ht="115.5" customHeight="1">
      <c r="A198" s="56"/>
      <c r="B198" s="11" t="s">
        <v>269</v>
      </c>
      <c r="C198" s="32" t="s">
        <v>35</v>
      </c>
      <c r="D198" s="23" t="s">
        <v>31</v>
      </c>
      <c r="E198" s="23" t="s">
        <v>25</v>
      </c>
      <c r="F198" s="24" t="s">
        <v>345</v>
      </c>
      <c r="G198" s="23" t="s">
        <v>59</v>
      </c>
      <c r="H198" s="25">
        <f>55.7-15.7-40</f>
        <v>0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13"/>
      <c r="S198" s="16">
        <f t="shared" si="60"/>
        <v>0</v>
      </c>
    </row>
    <row r="199" spans="1:19" s="1" customFormat="1" ht="75">
      <c r="A199" s="56"/>
      <c r="B199" s="11" t="s">
        <v>148</v>
      </c>
      <c r="C199" s="32" t="s">
        <v>35</v>
      </c>
      <c r="D199" s="23" t="s">
        <v>31</v>
      </c>
      <c r="E199" s="23" t="s">
        <v>25</v>
      </c>
      <c r="F199" s="24" t="s">
        <v>345</v>
      </c>
      <c r="G199" s="32" t="s">
        <v>60</v>
      </c>
      <c r="H199" s="25">
        <f>17.1-3-14.1</f>
        <v>0</v>
      </c>
      <c r="I199" s="26" t="e">
        <f>#REF!</f>
        <v>#REF!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27" t="e">
        <f>#REF!</f>
        <v>#REF!</v>
      </c>
      <c r="N199" s="27" t="e">
        <f>#REF!</f>
        <v>#REF!</v>
      </c>
      <c r="O199" s="27" t="e">
        <f>#REF!</f>
        <v>#REF!</v>
      </c>
      <c r="P199" s="27" t="e">
        <f>#REF!</f>
        <v>#REF!</v>
      </c>
      <c r="Q199" s="27" t="e">
        <f>#REF!</f>
        <v>#REF!</v>
      </c>
      <c r="R199" s="13"/>
      <c r="S199" s="16">
        <f t="shared" si="60"/>
        <v>0</v>
      </c>
    </row>
    <row r="200" spans="1:19" s="1" customFormat="1" ht="120">
      <c r="A200" s="56"/>
      <c r="B200" s="11" t="s">
        <v>269</v>
      </c>
      <c r="C200" s="32" t="s">
        <v>35</v>
      </c>
      <c r="D200" s="23" t="s">
        <v>31</v>
      </c>
      <c r="E200" s="23" t="s">
        <v>25</v>
      </c>
      <c r="F200" s="24" t="s">
        <v>348</v>
      </c>
      <c r="G200" s="23" t="s">
        <v>59</v>
      </c>
      <c r="H200" s="25">
        <f>40+15.7-2.8-0.3-3.8-0.2</f>
        <v>48.60000000000001</v>
      </c>
      <c r="I200" s="13">
        <v>-15.7</v>
      </c>
      <c r="J200" s="31"/>
      <c r="K200" s="25"/>
      <c r="L200" s="25"/>
      <c r="M200" s="25"/>
      <c r="N200" s="25"/>
      <c r="O200" s="25"/>
      <c r="P200" s="25"/>
      <c r="Q200" s="25"/>
      <c r="R200" s="25">
        <v>29</v>
      </c>
      <c r="S200" s="16">
        <f t="shared" si="60"/>
        <v>-19.60000000000001</v>
      </c>
    </row>
    <row r="201" spans="1:19" s="1" customFormat="1" ht="75">
      <c r="A201" s="56"/>
      <c r="B201" s="11" t="s">
        <v>148</v>
      </c>
      <c r="C201" s="32" t="s">
        <v>35</v>
      </c>
      <c r="D201" s="23" t="s">
        <v>31</v>
      </c>
      <c r="E201" s="23" t="s">
        <v>25</v>
      </c>
      <c r="F201" s="24" t="s">
        <v>348</v>
      </c>
      <c r="G201" s="32" t="s">
        <v>60</v>
      </c>
      <c r="H201" s="25">
        <f>14.1+3+2.8-0.2+3.8+0.2</f>
        <v>23.700000000000003</v>
      </c>
      <c r="I201" s="13">
        <v>-3</v>
      </c>
      <c r="J201" s="31"/>
      <c r="K201" s="25"/>
      <c r="L201" s="25"/>
      <c r="M201" s="25"/>
      <c r="N201" s="25"/>
      <c r="O201" s="25"/>
      <c r="P201" s="25"/>
      <c r="Q201" s="25"/>
      <c r="R201" s="25">
        <v>23.7</v>
      </c>
      <c r="S201" s="16">
        <f t="shared" si="60"/>
        <v>0</v>
      </c>
    </row>
    <row r="202" spans="1:19" s="1" customFormat="1" ht="30">
      <c r="A202" s="56"/>
      <c r="B202" s="11" t="s">
        <v>332</v>
      </c>
      <c r="C202" s="32" t="s">
        <v>35</v>
      </c>
      <c r="D202" s="23" t="s">
        <v>31</v>
      </c>
      <c r="E202" s="23" t="s">
        <v>25</v>
      </c>
      <c r="F202" s="24" t="s">
        <v>30</v>
      </c>
      <c r="G202" s="23"/>
      <c r="H202" s="25">
        <f>H203+H206</f>
        <v>935.9</v>
      </c>
      <c r="I202" s="25">
        <f aca="true" t="shared" si="91" ref="I202:R202">I203+I206</f>
        <v>0</v>
      </c>
      <c r="J202" s="25">
        <f t="shared" si="91"/>
        <v>0</v>
      </c>
      <c r="K202" s="25">
        <f t="shared" si="91"/>
        <v>0</v>
      </c>
      <c r="L202" s="25">
        <f t="shared" si="91"/>
        <v>0</v>
      </c>
      <c r="M202" s="25">
        <f t="shared" si="91"/>
        <v>0</v>
      </c>
      <c r="N202" s="25">
        <f t="shared" si="91"/>
        <v>0</v>
      </c>
      <c r="O202" s="25">
        <f t="shared" si="91"/>
        <v>0</v>
      </c>
      <c r="P202" s="25">
        <f t="shared" si="91"/>
        <v>0</v>
      </c>
      <c r="Q202" s="25">
        <f t="shared" si="91"/>
        <v>0</v>
      </c>
      <c r="R202" s="25">
        <f t="shared" si="91"/>
        <v>935.9</v>
      </c>
      <c r="S202" s="16">
        <f aca="true" t="shared" si="92" ref="S202:S265">R202-H202</f>
        <v>0</v>
      </c>
    </row>
    <row r="203" spans="1:19" s="1" customFormat="1" ht="45">
      <c r="A203" s="56"/>
      <c r="B203" s="11" t="s">
        <v>100</v>
      </c>
      <c r="C203" s="32" t="s">
        <v>35</v>
      </c>
      <c r="D203" s="23" t="s">
        <v>31</v>
      </c>
      <c r="E203" s="23" t="s">
        <v>25</v>
      </c>
      <c r="F203" s="24" t="s">
        <v>99</v>
      </c>
      <c r="G203" s="23"/>
      <c r="H203" s="25">
        <f>H204</f>
        <v>836</v>
      </c>
      <c r="I203" s="25">
        <f aca="true" t="shared" si="93" ref="I203:R204">I204</f>
        <v>0</v>
      </c>
      <c r="J203" s="25">
        <f t="shared" si="93"/>
        <v>0</v>
      </c>
      <c r="K203" s="25">
        <f t="shared" si="93"/>
        <v>0</v>
      </c>
      <c r="L203" s="25">
        <f t="shared" si="93"/>
        <v>0</v>
      </c>
      <c r="M203" s="25">
        <f t="shared" si="93"/>
        <v>0</v>
      </c>
      <c r="N203" s="25">
        <f t="shared" si="93"/>
        <v>0</v>
      </c>
      <c r="O203" s="25">
        <f t="shared" si="93"/>
        <v>0</v>
      </c>
      <c r="P203" s="25">
        <f t="shared" si="93"/>
        <v>0</v>
      </c>
      <c r="Q203" s="25">
        <f t="shared" si="93"/>
        <v>0</v>
      </c>
      <c r="R203" s="25">
        <f t="shared" si="93"/>
        <v>836</v>
      </c>
      <c r="S203" s="16">
        <f t="shared" si="92"/>
        <v>0</v>
      </c>
    </row>
    <row r="204" spans="1:19" s="1" customFormat="1" ht="45">
      <c r="A204" s="56"/>
      <c r="B204" s="11" t="s">
        <v>401</v>
      </c>
      <c r="C204" s="32" t="s">
        <v>35</v>
      </c>
      <c r="D204" s="23" t="s">
        <v>31</v>
      </c>
      <c r="E204" s="23" t="s">
        <v>25</v>
      </c>
      <c r="F204" s="24" t="s">
        <v>209</v>
      </c>
      <c r="G204" s="23"/>
      <c r="H204" s="25">
        <f>H205</f>
        <v>836</v>
      </c>
      <c r="I204" s="25">
        <f t="shared" si="93"/>
        <v>0</v>
      </c>
      <c r="J204" s="25">
        <f t="shared" si="93"/>
        <v>0</v>
      </c>
      <c r="K204" s="25">
        <f t="shared" si="93"/>
        <v>0</v>
      </c>
      <c r="L204" s="25">
        <f t="shared" si="93"/>
        <v>0</v>
      </c>
      <c r="M204" s="25">
        <f t="shared" si="93"/>
        <v>0</v>
      </c>
      <c r="N204" s="25">
        <f t="shared" si="93"/>
        <v>0</v>
      </c>
      <c r="O204" s="25">
        <f t="shared" si="93"/>
        <v>0</v>
      </c>
      <c r="P204" s="25">
        <f t="shared" si="93"/>
        <v>0</v>
      </c>
      <c r="Q204" s="25">
        <f t="shared" si="93"/>
        <v>0</v>
      </c>
      <c r="R204" s="25">
        <f t="shared" si="93"/>
        <v>836</v>
      </c>
      <c r="S204" s="16">
        <f t="shared" si="92"/>
        <v>0</v>
      </c>
    </row>
    <row r="205" spans="1:19" s="1" customFormat="1" ht="41.25" customHeight="1">
      <c r="A205" s="56"/>
      <c r="B205" s="11" t="s">
        <v>409</v>
      </c>
      <c r="C205" s="32" t="s">
        <v>35</v>
      </c>
      <c r="D205" s="23" t="s">
        <v>31</v>
      </c>
      <c r="E205" s="23" t="s">
        <v>25</v>
      </c>
      <c r="F205" s="24" t="s">
        <v>101</v>
      </c>
      <c r="G205" s="23" t="s">
        <v>400</v>
      </c>
      <c r="H205" s="25">
        <v>836</v>
      </c>
      <c r="I205" s="26"/>
      <c r="J205" s="27"/>
      <c r="K205" s="27"/>
      <c r="L205" s="27"/>
      <c r="M205" s="27"/>
      <c r="N205" s="27"/>
      <c r="O205" s="27"/>
      <c r="P205" s="27"/>
      <c r="Q205" s="27"/>
      <c r="R205" s="13">
        <v>836</v>
      </c>
      <c r="S205" s="16">
        <f t="shared" si="92"/>
        <v>0</v>
      </c>
    </row>
    <row r="206" spans="1:19" s="1" customFormat="1" ht="45">
      <c r="A206" s="56"/>
      <c r="B206" s="11" t="s">
        <v>406</v>
      </c>
      <c r="C206" s="32" t="s">
        <v>35</v>
      </c>
      <c r="D206" s="23" t="s">
        <v>31</v>
      </c>
      <c r="E206" s="23" t="s">
        <v>25</v>
      </c>
      <c r="F206" s="24" t="s">
        <v>402</v>
      </c>
      <c r="G206" s="23"/>
      <c r="H206" s="25">
        <f aca="true" t="shared" si="94" ref="H206:R206">H207</f>
        <v>99.9</v>
      </c>
      <c r="I206" s="25">
        <f t="shared" si="94"/>
        <v>0</v>
      </c>
      <c r="J206" s="25">
        <f t="shared" si="94"/>
        <v>0</v>
      </c>
      <c r="K206" s="25">
        <f t="shared" si="94"/>
        <v>0</v>
      </c>
      <c r="L206" s="25">
        <f t="shared" si="94"/>
        <v>0</v>
      </c>
      <c r="M206" s="25">
        <f t="shared" si="94"/>
        <v>0</v>
      </c>
      <c r="N206" s="25">
        <f t="shared" si="94"/>
        <v>0</v>
      </c>
      <c r="O206" s="25">
        <f t="shared" si="94"/>
        <v>0</v>
      </c>
      <c r="P206" s="25">
        <f t="shared" si="94"/>
        <v>0</v>
      </c>
      <c r="Q206" s="25">
        <f t="shared" si="94"/>
        <v>0</v>
      </c>
      <c r="R206" s="25">
        <f t="shared" si="94"/>
        <v>99.9</v>
      </c>
      <c r="S206" s="16">
        <f t="shared" si="92"/>
        <v>0</v>
      </c>
    </row>
    <row r="207" spans="1:19" s="1" customFormat="1" ht="45">
      <c r="A207" s="56"/>
      <c r="B207" s="11" t="s">
        <v>409</v>
      </c>
      <c r="C207" s="32" t="s">
        <v>35</v>
      </c>
      <c r="D207" s="23" t="s">
        <v>31</v>
      </c>
      <c r="E207" s="23" t="s">
        <v>25</v>
      </c>
      <c r="F207" s="24" t="s">
        <v>407</v>
      </c>
      <c r="G207" s="23" t="s">
        <v>400</v>
      </c>
      <c r="H207" s="25">
        <v>99.9</v>
      </c>
      <c r="I207" s="26"/>
      <c r="J207" s="27"/>
      <c r="K207" s="27"/>
      <c r="L207" s="27"/>
      <c r="M207" s="27"/>
      <c r="N207" s="27"/>
      <c r="O207" s="27"/>
      <c r="P207" s="27"/>
      <c r="Q207" s="27"/>
      <c r="R207" s="13">
        <v>99.9</v>
      </c>
      <c r="S207" s="16">
        <f t="shared" si="92"/>
        <v>0</v>
      </c>
    </row>
    <row r="208" spans="1:19" s="1" customFormat="1" ht="30">
      <c r="A208" s="56"/>
      <c r="B208" s="11" t="s">
        <v>333</v>
      </c>
      <c r="C208" s="23" t="s">
        <v>35</v>
      </c>
      <c r="D208" s="23" t="s">
        <v>31</v>
      </c>
      <c r="E208" s="23" t="s">
        <v>25</v>
      </c>
      <c r="F208" s="24" t="s">
        <v>31</v>
      </c>
      <c r="G208" s="23"/>
      <c r="H208" s="25">
        <f>H209</f>
        <v>5</v>
      </c>
      <c r="I208" s="66"/>
      <c r="J208" s="28"/>
      <c r="K208" s="28"/>
      <c r="L208" s="28"/>
      <c r="M208" s="28"/>
      <c r="N208" s="28"/>
      <c r="O208" s="28"/>
      <c r="P208" s="28"/>
      <c r="Q208" s="28"/>
      <c r="R208" s="13"/>
      <c r="S208" s="16">
        <f t="shared" si="92"/>
        <v>-5</v>
      </c>
    </row>
    <row r="209" spans="1:19" s="1" customFormat="1" ht="60">
      <c r="A209" s="56"/>
      <c r="B209" s="11" t="s">
        <v>197</v>
      </c>
      <c r="C209" s="23" t="s">
        <v>35</v>
      </c>
      <c r="D209" s="23" t="s">
        <v>31</v>
      </c>
      <c r="E209" s="23" t="s">
        <v>25</v>
      </c>
      <c r="F209" s="24" t="s">
        <v>208</v>
      </c>
      <c r="G209" s="23"/>
      <c r="H209" s="25">
        <f>H210</f>
        <v>5</v>
      </c>
      <c r="I209" s="66"/>
      <c r="J209" s="28"/>
      <c r="K209" s="28"/>
      <c r="L209" s="28"/>
      <c r="M209" s="28"/>
      <c r="N209" s="28"/>
      <c r="O209" s="28"/>
      <c r="P209" s="28"/>
      <c r="Q209" s="28"/>
      <c r="R209" s="13"/>
      <c r="S209" s="16">
        <f t="shared" si="92"/>
        <v>-5</v>
      </c>
    </row>
    <row r="210" spans="1:19" s="1" customFormat="1" ht="60">
      <c r="A210" s="56"/>
      <c r="B210" s="11" t="s">
        <v>329</v>
      </c>
      <c r="C210" s="23" t="s">
        <v>35</v>
      </c>
      <c r="D210" s="23" t="s">
        <v>31</v>
      </c>
      <c r="E210" s="23" t="s">
        <v>25</v>
      </c>
      <c r="F210" s="24" t="s">
        <v>102</v>
      </c>
      <c r="G210" s="23" t="s">
        <v>58</v>
      </c>
      <c r="H210" s="25">
        <v>5</v>
      </c>
      <c r="I210" s="66"/>
      <c r="J210" s="28"/>
      <c r="K210" s="28"/>
      <c r="L210" s="28"/>
      <c r="M210" s="28"/>
      <c r="N210" s="28"/>
      <c r="O210" s="28"/>
      <c r="P210" s="28"/>
      <c r="Q210" s="28"/>
      <c r="R210" s="13"/>
      <c r="S210" s="16">
        <f t="shared" si="92"/>
        <v>-5</v>
      </c>
    </row>
    <row r="211" spans="1:19" s="2" customFormat="1" ht="21" customHeight="1">
      <c r="A211" s="57"/>
      <c r="B211" s="19" t="s">
        <v>281</v>
      </c>
      <c r="C211" s="39" t="s">
        <v>35</v>
      </c>
      <c r="D211" s="20" t="s">
        <v>31</v>
      </c>
      <c r="E211" s="20" t="s">
        <v>26</v>
      </c>
      <c r="F211" s="21"/>
      <c r="G211" s="20"/>
      <c r="H211" s="22">
        <f>H212</f>
        <v>289.3</v>
      </c>
      <c r="I211" s="22" t="e">
        <f aca="true" t="shared" si="95" ref="I211:R212">I212</f>
        <v>#REF!</v>
      </c>
      <c r="J211" s="22" t="e">
        <f t="shared" si="95"/>
        <v>#REF!</v>
      </c>
      <c r="K211" s="22" t="e">
        <f t="shared" si="95"/>
        <v>#REF!</v>
      </c>
      <c r="L211" s="22" t="e">
        <f t="shared" si="95"/>
        <v>#REF!</v>
      </c>
      <c r="M211" s="22" t="e">
        <f t="shared" si="95"/>
        <v>#REF!</v>
      </c>
      <c r="N211" s="22" t="e">
        <f t="shared" si="95"/>
        <v>#REF!</v>
      </c>
      <c r="O211" s="22" t="e">
        <f t="shared" si="95"/>
        <v>#REF!</v>
      </c>
      <c r="P211" s="22" t="e">
        <f t="shared" si="95"/>
        <v>#REF!</v>
      </c>
      <c r="Q211" s="22" t="e">
        <f t="shared" si="95"/>
        <v>#REF!</v>
      </c>
      <c r="R211" s="22">
        <f t="shared" si="95"/>
        <v>289.3</v>
      </c>
      <c r="S211" s="16">
        <f t="shared" si="92"/>
        <v>0</v>
      </c>
    </row>
    <row r="212" spans="1:19" s="1" customFormat="1" ht="30">
      <c r="A212" s="56"/>
      <c r="B212" s="11" t="s">
        <v>140</v>
      </c>
      <c r="C212" s="32" t="s">
        <v>35</v>
      </c>
      <c r="D212" s="23" t="s">
        <v>31</v>
      </c>
      <c r="E212" s="23" t="s">
        <v>26</v>
      </c>
      <c r="F212" s="24" t="s">
        <v>26</v>
      </c>
      <c r="G212" s="23"/>
      <c r="H212" s="25">
        <f>H213</f>
        <v>289.3</v>
      </c>
      <c r="I212" s="25" t="e">
        <f t="shared" si="95"/>
        <v>#REF!</v>
      </c>
      <c r="J212" s="25" t="e">
        <f t="shared" si="95"/>
        <v>#REF!</v>
      </c>
      <c r="K212" s="25" t="e">
        <f t="shared" si="95"/>
        <v>#REF!</v>
      </c>
      <c r="L212" s="25" t="e">
        <f t="shared" si="95"/>
        <v>#REF!</v>
      </c>
      <c r="M212" s="25" t="e">
        <f t="shared" si="95"/>
        <v>#REF!</v>
      </c>
      <c r="N212" s="25" t="e">
        <f t="shared" si="95"/>
        <v>#REF!</v>
      </c>
      <c r="O212" s="25" t="e">
        <f t="shared" si="95"/>
        <v>#REF!</v>
      </c>
      <c r="P212" s="25" t="e">
        <f t="shared" si="95"/>
        <v>#REF!</v>
      </c>
      <c r="Q212" s="25" t="e">
        <f t="shared" si="95"/>
        <v>#REF!</v>
      </c>
      <c r="R212" s="25">
        <f t="shared" si="95"/>
        <v>289.3</v>
      </c>
      <c r="S212" s="16">
        <f t="shared" si="92"/>
        <v>0</v>
      </c>
    </row>
    <row r="213" spans="1:19" s="1" customFormat="1" ht="29.25" customHeight="1">
      <c r="A213" s="56"/>
      <c r="B213" s="11" t="s">
        <v>343</v>
      </c>
      <c r="C213" s="32" t="s">
        <v>35</v>
      </c>
      <c r="D213" s="23" t="s">
        <v>31</v>
      </c>
      <c r="E213" s="23" t="s">
        <v>26</v>
      </c>
      <c r="F213" s="24" t="s">
        <v>147</v>
      </c>
      <c r="G213" s="23"/>
      <c r="H213" s="25">
        <f>H215</f>
        <v>289.3</v>
      </c>
      <c r="I213" s="25" t="e">
        <f aca="true" t="shared" si="96" ref="I213:R213">I215</f>
        <v>#REF!</v>
      </c>
      <c r="J213" s="25" t="e">
        <f t="shared" si="96"/>
        <v>#REF!</v>
      </c>
      <c r="K213" s="25" t="e">
        <f t="shared" si="96"/>
        <v>#REF!</v>
      </c>
      <c r="L213" s="25" t="e">
        <f t="shared" si="96"/>
        <v>#REF!</v>
      </c>
      <c r="M213" s="25" t="e">
        <f t="shared" si="96"/>
        <v>#REF!</v>
      </c>
      <c r="N213" s="25" t="e">
        <f t="shared" si="96"/>
        <v>#REF!</v>
      </c>
      <c r="O213" s="25" t="e">
        <f t="shared" si="96"/>
        <v>#REF!</v>
      </c>
      <c r="P213" s="25" t="e">
        <f t="shared" si="96"/>
        <v>#REF!</v>
      </c>
      <c r="Q213" s="25" t="e">
        <f t="shared" si="96"/>
        <v>#REF!</v>
      </c>
      <c r="R213" s="25">
        <f t="shared" si="96"/>
        <v>289.3</v>
      </c>
      <c r="S213" s="16">
        <f t="shared" si="92"/>
        <v>0</v>
      </c>
    </row>
    <row r="214" spans="1:19" s="1" customFormat="1" ht="33" customHeight="1">
      <c r="A214" s="56"/>
      <c r="B214" s="11" t="s">
        <v>340</v>
      </c>
      <c r="C214" s="32" t="s">
        <v>35</v>
      </c>
      <c r="D214" s="23" t="s">
        <v>31</v>
      </c>
      <c r="E214" s="23" t="s">
        <v>26</v>
      </c>
      <c r="F214" s="24" t="s">
        <v>341</v>
      </c>
      <c r="G214" s="23"/>
      <c r="H214" s="25">
        <f>H215</f>
        <v>289.3</v>
      </c>
      <c r="I214" s="25" t="e">
        <f aca="true" t="shared" si="97" ref="I214:R214">I215</f>
        <v>#REF!</v>
      </c>
      <c r="J214" s="25" t="e">
        <f t="shared" si="97"/>
        <v>#REF!</v>
      </c>
      <c r="K214" s="25" t="e">
        <f t="shared" si="97"/>
        <v>#REF!</v>
      </c>
      <c r="L214" s="25" t="e">
        <f t="shared" si="97"/>
        <v>#REF!</v>
      </c>
      <c r="M214" s="25" t="e">
        <f t="shared" si="97"/>
        <v>#REF!</v>
      </c>
      <c r="N214" s="25" t="e">
        <f t="shared" si="97"/>
        <v>#REF!</v>
      </c>
      <c r="O214" s="25" t="e">
        <f t="shared" si="97"/>
        <v>#REF!</v>
      </c>
      <c r="P214" s="25" t="e">
        <f t="shared" si="97"/>
        <v>#REF!</v>
      </c>
      <c r="Q214" s="25" t="e">
        <f t="shared" si="97"/>
        <v>#REF!</v>
      </c>
      <c r="R214" s="25">
        <f t="shared" si="97"/>
        <v>289.3</v>
      </c>
      <c r="S214" s="16">
        <f t="shared" si="92"/>
        <v>0</v>
      </c>
    </row>
    <row r="215" spans="1:19" s="1" customFormat="1" ht="87.75" customHeight="1">
      <c r="A215" s="56"/>
      <c r="B215" s="11" t="s">
        <v>89</v>
      </c>
      <c r="C215" s="32" t="s">
        <v>35</v>
      </c>
      <c r="D215" s="32" t="s">
        <v>31</v>
      </c>
      <c r="E215" s="32" t="s">
        <v>26</v>
      </c>
      <c r="F215" s="24" t="s">
        <v>342</v>
      </c>
      <c r="G215" s="23" t="s">
        <v>59</v>
      </c>
      <c r="H215" s="25">
        <f>482.8-193.5</f>
        <v>289.3</v>
      </c>
      <c r="I215" s="26" t="e">
        <f>#REF!</f>
        <v>#REF!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27" t="e">
        <f>#REF!</f>
        <v>#REF!</v>
      </c>
      <c r="N215" s="27" t="e">
        <f>#REF!</f>
        <v>#REF!</v>
      </c>
      <c r="O215" s="27" t="e">
        <f>#REF!</f>
        <v>#REF!</v>
      </c>
      <c r="P215" s="27" t="e">
        <f>#REF!</f>
        <v>#REF!</v>
      </c>
      <c r="Q215" s="27" t="e">
        <f>#REF!</f>
        <v>#REF!</v>
      </c>
      <c r="R215" s="13">
        <v>289.3</v>
      </c>
      <c r="S215" s="16">
        <f t="shared" si="92"/>
        <v>0</v>
      </c>
    </row>
    <row r="216" spans="1:19" s="1" customFormat="1" ht="15">
      <c r="A216" s="56"/>
      <c r="B216" s="15" t="s">
        <v>5</v>
      </c>
      <c r="C216" s="36" t="s">
        <v>35</v>
      </c>
      <c r="D216" s="17" t="s">
        <v>27</v>
      </c>
      <c r="E216" s="17"/>
      <c r="F216" s="18"/>
      <c r="G216" s="17"/>
      <c r="H216" s="16">
        <f>H217</f>
        <v>6912.5</v>
      </c>
      <c r="I216" s="16">
        <f aca="true" t="shared" si="98" ref="I216:R218">I217</f>
        <v>2312</v>
      </c>
      <c r="J216" s="16">
        <f t="shared" si="98"/>
        <v>2312</v>
      </c>
      <c r="K216" s="16">
        <f t="shared" si="98"/>
        <v>2312</v>
      </c>
      <c r="L216" s="16">
        <f t="shared" si="98"/>
        <v>2312</v>
      </c>
      <c r="M216" s="16">
        <f t="shared" si="98"/>
        <v>2312</v>
      </c>
      <c r="N216" s="16">
        <f t="shared" si="98"/>
        <v>2312</v>
      </c>
      <c r="O216" s="16">
        <f t="shared" si="98"/>
        <v>2312</v>
      </c>
      <c r="P216" s="16">
        <f t="shared" si="98"/>
        <v>2312</v>
      </c>
      <c r="Q216" s="16">
        <f t="shared" si="98"/>
        <v>2312</v>
      </c>
      <c r="R216" s="16">
        <f t="shared" si="98"/>
        <v>6912.4</v>
      </c>
      <c r="S216" s="16">
        <f t="shared" si="92"/>
        <v>-0.1000000000003638</v>
      </c>
    </row>
    <row r="217" spans="1:19" s="2" customFormat="1" ht="15">
      <c r="A217" s="57"/>
      <c r="B217" s="19" t="s">
        <v>17</v>
      </c>
      <c r="C217" s="39" t="s">
        <v>35</v>
      </c>
      <c r="D217" s="20" t="s">
        <v>27</v>
      </c>
      <c r="E217" s="20" t="s">
        <v>28</v>
      </c>
      <c r="F217" s="21"/>
      <c r="G217" s="20"/>
      <c r="H217" s="22">
        <f>H218</f>
        <v>6912.5</v>
      </c>
      <c r="I217" s="22">
        <f t="shared" si="98"/>
        <v>2312</v>
      </c>
      <c r="J217" s="22">
        <f t="shared" si="98"/>
        <v>2312</v>
      </c>
      <c r="K217" s="22">
        <f t="shared" si="98"/>
        <v>2312</v>
      </c>
      <c r="L217" s="22">
        <f t="shared" si="98"/>
        <v>2312</v>
      </c>
      <c r="M217" s="22">
        <f t="shared" si="98"/>
        <v>2312</v>
      </c>
      <c r="N217" s="22">
        <f t="shared" si="98"/>
        <v>2312</v>
      </c>
      <c r="O217" s="22">
        <f t="shared" si="98"/>
        <v>2312</v>
      </c>
      <c r="P217" s="22">
        <f t="shared" si="98"/>
        <v>2312</v>
      </c>
      <c r="Q217" s="22">
        <f t="shared" si="98"/>
        <v>2312</v>
      </c>
      <c r="R217" s="22">
        <f t="shared" si="98"/>
        <v>6912.4</v>
      </c>
      <c r="S217" s="16">
        <f t="shared" si="92"/>
        <v>-0.1000000000003638</v>
      </c>
    </row>
    <row r="218" spans="1:19" s="2" customFormat="1" ht="30">
      <c r="A218" s="57"/>
      <c r="B218" s="11" t="s">
        <v>335</v>
      </c>
      <c r="C218" s="32" t="s">
        <v>35</v>
      </c>
      <c r="D218" s="23" t="s">
        <v>27</v>
      </c>
      <c r="E218" s="23" t="s">
        <v>28</v>
      </c>
      <c r="F218" s="24" t="s">
        <v>43</v>
      </c>
      <c r="G218" s="23"/>
      <c r="H218" s="25">
        <f>H219</f>
        <v>6912.5</v>
      </c>
      <c r="I218" s="25">
        <f t="shared" si="98"/>
        <v>2312</v>
      </c>
      <c r="J218" s="25">
        <f t="shared" si="98"/>
        <v>2312</v>
      </c>
      <c r="K218" s="25">
        <f t="shared" si="98"/>
        <v>2312</v>
      </c>
      <c r="L218" s="25">
        <f t="shared" si="98"/>
        <v>2312</v>
      </c>
      <c r="M218" s="25">
        <f t="shared" si="98"/>
        <v>2312</v>
      </c>
      <c r="N218" s="25">
        <f t="shared" si="98"/>
        <v>2312</v>
      </c>
      <c r="O218" s="25">
        <f t="shared" si="98"/>
        <v>2312</v>
      </c>
      <c r="P218" s="25">
        <f t="shared" si="98"/>
        <v>2312</v>
      </c>
      <c r="Q218" s="25">
        <f t="shared" si="98"/>
        <v>2312</v>
      </c>
      <c r="R218" s="25">
        <f t="shared" si="98"/>
        <v>6912.4</v>
      </c>
      <c r="S218" s="16">
        <f t="shared" si="92"/>
        <v>-0.1000000000003638</v>
      </c>
    </row>
    <row r="219" spans="1:19" s="2" customFormat="1" ht="30">
      <c r="A219" s="57"/>
      <c r="B219" s="11" t="s">
        <v>288</v>
      </c>
      <c r="C219" s="32" t="s">
        <v>35</v>
      </c>
      <c r="D219" s="23" t="s">
        <v>27</v>
      </c>
      <c r="E219" s="23" t="s">
        <v>28</v>
      </c>
      <c r="F219" s="24" t="s">
        <v>153</v>
      </c>
      <c r="G219" s="23"/>
      <c r="H219" s="25">
        <f>H221+H222+H220</f>
        <v>6912.5</v>
      </c>
      <c r="I219" s="25">
        <f aca="true" t="shared" si="99" ref="I219:R219">I221+I222+I220</f>
        <v>2312</v>
      </c>
      <c r="J219" s="25">
        <f t="shared" si="99"/>
        <v>2312</v>
      </c>
      <c r="K219" s="25">
        <f t="shared" si="99"/>
        <v>2312</v>
      </c>
      <c r="L219" s="25">
        <f t="shared" si="99"/>
        <v>2312</v>
      </c>
      <c r="M219" s="25">
        <f t="shared" si="99"/>
        <v>2312</v>
      </c>
      <c r="N219" s="25">
        <f t="shared" si="99"/>
        <v>2312</v>
      </c>
      <c r="O219" s="25">
        <f t="shared" si="99"/>
        <v>2312</v>
      </c>
      <c r="P219" s="25">
        <f t="shared" si="99"/>
        <v>2312</v>
      </c>
      <c r="Q219" s="25">
        <f t="shared" si="99"/>
        <v>2312</v>
      </c>
      <c r="R219" s="25">
        <f t="shared" si="99"/>
        <v>6912.4</v>
      </c>
      <c r="S219" s="16">
        <f t="shared" si="92"/>
        <v>-0.1000000000003638</v>
      </c>
    </row>
    <row r="220" spans="1:19" s="2" customFormat="1" ht="45">
      <c r="A220" s="57"/>
      <c r="B220" s="11" t="s">
        <v>267</v>
      </c>
      <c r="C220" s="32" t="s">
        <v>35</v>
      </c>
      <c r="D220" s="23" t="s">
        <v>27</v>
      </c>
      <c r="E220" s="23" t="s">
        <v>28</v>
      </c>
      <c r="F220" s="24" t="s">
        <v>427</v>
      </c>
      <c r="G220" s="23" t="s">
        <v>60</v>
      </c>
      <c r="H220" s="25">
        <f>156+334.6</f>
        <v>490.6</v>
      </c>
      <c r="I220" s="77"/>
      <c r="J220" s="78"/>
      <c r="K220" s="78"/>
      <c r="L220" s="78"/>
      <c r="M220" s="78"/>
      <c r="N220" s="78"/>
      <c r="O220" s="78"/>
      <c r="P220" s="78"/>
      <c r="Q220" s="78"/>
      <c r="R220" s="25">
        <v>490.6</v>
      </c>
      <c r="S220" s="16">
        <f t="shared" si="92"/>
        <v>0</v>
      </c>
    </row>
    <row r="221" spans="1:19" s="1" customFormat="1" ht="44.25" customHeight="1">
      <c r="A221" s="56"/>
      <c r="B221" s="11" t="s">
        <v>442</v>
      </c>
      <c r="C221" s="23" t="s">
        <v>35</v>
      </c>
      <c r="D221" s="23" t="s">
        <v>27</v>
      </c>
      <c r="E221" s="23" t="s">
        <v>28</v>
      </c>
      <c r="F221" s="24" t="s">
        <v>443</v>
      </c>
      <c r="G221" s="23" t="s">
        <v>60</v>
      </c>
      <c r="H221" s="25">
        <f>2943.9+2322</f>
        <v>5265.9</v>
      </c>
      <c r="I221" s="26">
        <f aca="true" t="shared" si="100" ref="I221:Q221">I222</f>
        <v>1156</v>
      </c>
      <c r="J221" s="27">
        <f t="shared" si="100"/>
        <v>1156</v>
      </c>
      <c r="K221" s="27">
        <f t="shared" si="100"/>
        <v>1156</v>
      </c>
      <c r="L221" s="27">
        <f t="shared" si="100"/>
        <v>1156</v>
      </c>
      <c r="M221" s="27">
        <f t="shared" si="100"/>
        <v>1156</v>
      </c>
      <c r="N221" s="27">
        <f t="shared" si="100"/>
        <v>1156</v>
      </c>
      <c r="O221" s="27">
        <f t="shared" si="100"/>
        <v>1156</v>
      </c>
      <c r="P221" s="27">
        <f t="shared" si="100"/>
        <v>1156</v>
      </c>
      <c r="Q221" s="27">
        <f t="shared" si="100"/>
        <v>1156</v>
      </c>
      <c r="R221" s="13">
        <v>5265.9</v>
      </c>
      <c r="S221" s="16">
        <f t="shared" si="92"/>
        <v>0</v>
      </c>
    </row>
    <row r="222" spans="1:19" s="1" customFormat="1" ht="53.25" customHeight="1">
      <c r="A222" s="56"/>
      <c r="B222" s="11" t="s">
        <v>268</v>
      </c>
      <c r="C222" s="23" t="s">
        <v>35</v>
      </c>
      <c r="D222" s="23" t="s">
        <v>27</v>
      </c>
      <c r="E222" s="23" t="s">
        <v>28</v>
      </c>
      <c r="F222" s="24" t="s">
        <v>154</v>
      </c>
      <c r="G222" s="23" t="s">
        <v>60</v>
      </c>
      <c r="H222" s="25">
        <v>1156</v>
      </c>
      <c r="I222" s="25">
        <v>1156</v>
      </c>
      <c r="J222" s="25">
        <v>1156</v>
      </c>
      <c r="K222" s="25">
        <v>1156</v>
      </c>
      <c r="L222" s="25">
        <v>1156</v>
      </c>
      <c r="M222" s="25">
        <v>1156</v>
      </c>
      <c r="N222" s="25">
        <v>1156</v>
      </c>
      <c r="O222" s="25">
        <v>1156</v>
      </c>
      <c r="P222" s="25">
        <v>1156</v>
      </c>
      <c r="Q222" s="25">
        <v>1156</v>
      </c>
      <c r="R222" s="13">
        <v>1155.9</v>
      </c>
      <c r="S222" s="16">
        <f t="shared" si="92"/>
        <v>-0.09999999999990905</v>
      </c>
    </row>
    <row r="223" spans="1:19" s="1" customFormat="1" ht="15">
      <c r="A223" s="56"/>
      <c r="B223" s="15" t="s">
        <v>6</v>
      </c>
      <c r="C223" s="17" t="s">
        <v>35</v>
      </c>
      <c r="D223" s="17" t="s">
        <v>43</v>
      </c>
      <c r="E223" s="17"/>
      <c r="F223" s="18"/>
      <c r="G223" s="17"/>
      <c r="H223" s="16">
        <f aca="true" t="shared" si="101" ref="H223:R223">H224+H228</f>
        <v>596</v>
      </c>
      <c r="I223" s="16" t="e">
        <f t="shared" si="101"/>
        <v>#REF!</v>
      </c>
      <c r="J223" s="16" t="e">
        <f t="shared" si="101"/>
        <v>#REF!</v>
      </c>
      <c r="K223" s="16" t="e">
        <f t="shared" si="101"/>
        <v>#REF!</v>
      </c>
      <c r="L223" s="16" t="e">
        <f t="shared" si="101"/>
        <v>#REF!</v>
      </c>
      <c r="M223" s="16" t="e">
        <f t="shared" si="101"/>
        <v>#REF!</v>
      </c>
      <c r="N223" s="16" t="e">
        <f t="shared" si="101"/>
        <v>#REF!</v>
      </c>
      <c r="O223" s="16" t="e">
        <f t="shared" si="101"/>
        <v>#REF!</v>
      </c>
      <c r="P223" s="16" t="e">
        <f t="shared" si="101"/>
        <v>#REF!</v>
      </c>
      <c r="Q223" s="16" t="e">
        <f t="shared" si="101"/>
        <v>#REF!</v>
      </c>
      <c r="R223" s="16">
        <f t="shared" si="101"/>
        <v>568.3</v>
      </c>
      <c r="S223" s="16">
        <f t="shared" si="92"/>
        <v>-27.700000000000045</v>
      </c>
    </row>
    <row r="224" spans="1:19" s="2" customFormat="1" ht="15">
      <c r="A224" s="57"/>
      <c r="B224" s="19" t="s">
        <v>56</v>
      </c>
      <c r="C224" s="20" t="s">
        <v>35</v>
      </c>
      <c r="D224" s="20" t="s">
        <v>43</v>
      </c>
      <c r="E224" s="20" t="s">
        <v>25</v>
      </c>
      <c r="F224" s="21"/>
      <c r="G224" s="20"/>
      <c r="H224" s="22">
        <f>H225</f>
        <v>403</v>
      </c>
      <c r="I224" s="22" t="e">
        <f aca="true" t="shared" si="102" ref="I224:R226">I225</f>
        <v>#REF!</v>
      </c>
      <c r="J224" s="22" t="e">
        <f t="shared" si="102"/>
        <v>#REF!</v>
      </c>
      <c r="K224" s="22" t="e">
        <f t="shared" si="102"/>
        <v>#REF!</v>
      </c>
      <c r="L224" s="22" t="e">
        <f t="shared" si="102"/>
        <v>#REF!</v>
      </c>
      <c r="M224" s="22" t="e">
        <f t="shared" si="102"/>
        <v>#REF!</v>
      </c>
      <c r="N224" s="22" t="e">
        <f t="shared" si="102"/>
        <v>#REF!</v>
      </c>
      <c r="O224" s="22" t="e">
        <f t="shared" si="102"/>
        <v>#REF!</v>
      </c>
      <c r="P224" s="22" t="e">
        <f t="shared" si="102"/>
        <v>#REF!</v>
      </c>
      <c r="Q224" s="22" t="e">
        <f t="shared" si="102"/>
        <v>#REF!</v>
      </c>
      <c r="R224" s="22">
        <f t="shared" si="102"/>
        <v>392.6</v>
      </c>
      <c r="S224" s="16">
        <f t="shared" si="92"/>
        <v>-10.399999999999977</v>
      </c>
    </row>
    <row r="225" spans="1:19" s="12" customFormat="1" ht="30">
      <c r="A225" s="56"/>
      <c r="B225" s="11" t="s">
        <v>155</v>
      </c>
      <c r="C225" s="23" t="s">
        <v>35</v>
      </c>
      <c r="D225" s="23" t="s">
        <v>43</v>
      </c>
      <c r="E225" s="23" t="s">
        <v>25</v>
      </c>
      <c r="F225" s="24" t="s">
        <v>32</v>
      </c>
      <c r="G225" s="23"/>
      <c r="H225" s="25">
        <f>H226</f>
        <v>403</v>
      </c>
      <c r="I225" s="25" t="e">
        <f t="shared" si="102"/>
        <v>#REF!</v>
      </c>
      <c r="J225" s="25" t="e">
        <f t="shared" si="102"/>
        <v>#REF!</v>
      </c>
      <c r="K225" s="25" t="e">
        <f t="shared" si="102"/>
        <v>#REF!</v>
      </c>
      <c r="L225" s="25" t="e">
        <f t="shared" si="102"/>
        <v>#REF!</v>
      </c>
      <c r="M225" s="25" t="e">
        <f t="shared" si="102"/>
        <v>#REF!</v>
      </c>
      <c r="N225" s="25" t="e">
        <f t="shared" si="102"/>
        <v>#REF!</v>
      </c>
      <c r="O225" s="25" t="e">
        <f t="shared" si="102"/>
        <v>#REF!</v>
      </c>
      <c r="P225" s="25" t="e">
        <f t="shared" si="102"/>
        <v>#REF!</v>
      </c>
      <c r="Q225" s="25" t="e">
        <f t="shared" si="102"/>
        <v>#REF!</v>
      </c>
      <c r="R225" s="25">
        <f t="shared" si="102"/>
        <v>392.6</v>
      </c>
      <c r="S225" s="16">
        <f t="shared" si="92"/>
        <v>-10.399999999999977</v>
      </c>
    </row>
    <row r="226" spans="1:19" s="12" customFormat="1" ht="30">
      <c r="A226" s="56"/>
      <c r="B226" s="11" t="s">
        <v>289</v>
      </c>
      <c r="C226" s="23" t="s">
        <v>35</v>
      </c>
      <c r="D226" s="23" t="s">
        <v>43</v>
      </c>
      <c r="E226" s="23" t="s">
        <v>25</v>
      </c>
      <c r="F226" s="24" t="s">
        <v>156</v>
      </c>
      <c r="G226" s="23"/>
      <c r="H226" s="25">
        <f>H227</f>
        <v>403</v>
      </c>
      <c r="I226" s="25" t="e">
        <f t="shared" si="102"/>
        <v>#REF!</v>
      </c>
      <c r="J226" s="25" t="e">
        <f t="shared" si="102"/>
        <v>#REF!</v>
      </c>
      <c r="K226" s="25" t="e">
        <f t="shared" si="102"/>
        <v>#REF!</v>
      </c>
      <c r="L226" s="25" t="e">
        <f t="shared" si="102"/>
        <v>#REF!</v>
      </c>
      <c r="M226" s="25" t="e">
        <f t="shared" si="102"/>
        <v>#REF!</v>
      </c>
      <c r="N226" s="25" t="e">
        <f t="shared" si="102"/>
        <v>#REF!</v>
      </c>
      <c r="O226" s="25" t="e">
        <f t="shared" si="102"/>
        <v>#REF!</v>
      </c>
      <c r="P226" s="25" t="e">
        <f t="shared" si="102"/>
        <v>#REF!</v>
      </c>
      <c r="Q226" s="25" t="e">
        <f t="shared" si="102"/>
        <v>#REF!</v>
      </c>
      <c r="R226" s="25">
        <f t="shared" si="102"/>
        <v>392.6</v>
      </c>
      <c r="S226" s="16">
        <f t="shared" si="92"/>
        <v>-10.399999999999977</v>
      </c>
    </row>
    <row r="227" spans="1:19" s="1" customFormat="1" ht="45">
      <c r="A227" s="56"/>
      <c r="B227" s="11" t="s">
        <v>314</v>
      </c>
      <c r="C227" s="32" t="s">
        <v>35</v>
      </c>
      <c r="D227" s="32" t="s">
        <v>43</v>
      </c>
      <c r="E227" s="32" t="s">
        <v>25</v>
      </c>
      <c r="F227" s="24" t="s">
        <v>157</v>
      </c>
      <c r="G227" s="23" t="s">
        <v>58</v>
      </c>
      <c r="H227" s="25">
        <f>150+103+150</f>
        <v>403</v>
      </c>
      <c r="I227" s="26" t="e">
        <f>#REF!</f>
        <v>#REF!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27" t="e">
        <f>#REF!</f>
        <v>#REF!</v>
      </c>
      <c r="N227" s="27" t="e">
        <f>#REF!</f>
        <v>#REF!</v>
      </c>
      <c r="O227" s="27" t="e">
        <f>#REF!</f>
        <v>#REF!</v>
      </c>
      <c r="P227" s="27" t="e">
        <f>#REF!</f>
        <v>#REF!</v>
      </c>
      <c r="Q227" s="27" t="e">
        <f>#REF!</f>
        <v>#REF!</v>
      </c>
      <c r="R227" s="13">
        <v>392.6</v>
      </c>
      <c r="S227" s="16">
        <f t="shared" si="92"/>
        <v>-10.399999999999977</v>
      </c>
    </row>
    <row r="228" spans="1:19" s="2" customFormat="1" ht="20.25" customHeight="1">
      <c r="A228" s="57"/>
      <c r="B228" s="19" t="s">
        <v>9</v>
      </c>
      <c r="C228" s="20" t="s">
        <v>35</v>
      </c>
      <c r="D228" s="20" t="s">
        <v>43</v>
      </c>
      <c r="E228" s="20" t="s">
        <v>33</v>
      </c>
      <c r="F228" s="21"/>
      <c r="G228" s="20"/>
      <c r="H228" s="22">
        <f>H229</f>
        <v>193</v>
      </c>
      <c r="I228" s="22">
        <f aca="true" t="shared" si="103" ref="I228:R229">I229</f>
        <v>0</v>
      </c>
      <c r="J228" s="22">
        <f t="shared" si="103"/>
        <v>0</v>
      </c>
      <c r="K228" s="22">
        <f t="shared" si="103"/>
        <v>0</v>
      </c>
      <c r="L228" s="22">
        <f t="shared" si="103"/>
        <v>0</v>
      </c>
      <c r="M228" s="22">
        <f t="shared" si="103"/>
        <v>0</v>
      </c>
      <c r="N228" s="22">
        <f t="shared" si="103"/>
        <v>0</v>
      </c>
      <c r="O228" s="22">
        <f t="shared" si="103"/>
        <v>0</v>
      </c>
      <c r="P228" s="22">
        <f t="shared" si="103"/>
        <v>0</v>
      </c>
      <c r="Q228" s="22">
        <f t="shared" si="103"/>
        <v>0</v>
      </c>
      <c r="R228" s="22">
        <f t="shared" si="103"/>
        <v>175.7</v>
      </c>
      <c r="S228" s="16">
        <f t="shared" si="92"/>
        <v>-17.30000000000001</v>
      </c>
    </row>
    <row r="229" spans="1:19" s="2" customFormat="1" ht="33.75" customHeight="1">
      <c r="A229" s="57"/>
      <c r="B229" s="11" t="s">
        <v>140</v>
      </c>
      <c r="C229" s="32" t="s">
        <v>35</v>
      </c>
      <c r="D229" s="23" t="s">
        <v>43</v>
      </c>
      <c r="E229" s="23" t="s">
        <v>33</v>
      </c>
      <c r="F229" s="24" t="s">
        <v>26</v>
      </c>
      <c r="G229" s="23"/>
      <c r="H229" s="25">
        <f>H230</f>
        <v>193</v>
      </c>
      <c r="I229" s="25">
        <f t="shared" si="103"/>
        <v>0</v>
      </c>
      <c r="J229" s="25">
        <f t="shared" si="103"/>
        <v>0</v>
      </c>
      <c r="K229" s="25">
        <f t="shared" si="103"/>
        <v>0</v>
      </c>
      <c r="L229" s="25">
        <f t="shared" si="103"/>
        <v>0</v>
      </c>
      <c r="M229" s="25">
        <f t="shared" si="103"/>
        <v>0</v>
      </c>
      <c r="N229" s="25">
        <f t="shared" si="103"/>
        <v>0</v>
      </c>
      <c r="O229" s="25">
        <f t="shared" si="103"/>
        <v>0</v>
      </c>
      <c r="P229" s="25">
        <f t="shared" si="103"/>
        <v>0</v>
      </c>
      <c r="Q229" s="25">
        <f t="shared" si="103"/>
        <v>0</v>
      </c>
      <c r="R229" s="25">
        <f t="shared" si="103"/>
        <v>175.7</v>
      </c>
      <c r="S229" s="16">
        <f t="shared" si="92"/>
        <v>-17.30000000000001</v>
      </c>
    </row>
    <row r="230" spans="1:19" s="2" customFormat="1" ht="30" customHeight="1">
      <c r="A230" s="57"/>
      <c r="B230" s="11" t="s">
        <v>343</v>
      </c>
      <c r="C230" s="32" t="s">
        <v>35</v>
      </c>
      <c r="D230" s="23" t="s">
        <v>43</v>
      </c>
      <c r="E230" s="23" t="s">
        <v>33</v>
      </c>
      <c r="F230" s="24" t="s">
        <v>147</v>
      </c>
      <c r="G230" s="23"/>
      <c r="H230" s="25">
        <f>H232</f>
        <v>193</v>
      </c>
      <c r="I230" s="25">
        <f aca="true" t="shared" si="104" ref="I230:R230">I232</f>
        <v>0</v>
      </c>
      <c r="J230" s="25">
        <f t="shared" si="104"/>
        <v>0</v>
      </c>
      <c r="K230" s="25">
        <f t="shared" si="104"/>
        <v>0</v>
      </c>
      <c r="L230" s="25">
        <f t="shared" si="104"/>
        <v>0</v>
      </c>
      <c r="M230" s="25">
        <f t="shared" si="104"/>
        <v>0</v>
      </c>
      <c r="N230" s="25">
        <f t="shared" si="104"/>
        <v>0</v>
      </c>
      <c r="O230" s="25">
        <f t="shared" si="104"/>
        <v>0</v>
      </c>
      <c r="P230" s="25">
        <f t="shared" si="104"/>
        <v>0</v>
      </c>
      <c r="Q230" s="25">
        <f t="shared" si="104"/>
        <v>0</v>
      </c>
      <c r="R230" s="25">
        <f t="shared" si="104"/>
        <v>175.7</v>
      </c>
      <c r="S230" s="16">
        <f t="shared" si="92"/>
        <v>-17.30000000000001</v>
      </c>
    </row>
    <row r="231" spans="1:19" s="2" customFormat="1" ht="31.5" customHeight="1">
      <c r="A231" s="57"/>
      <c r="B231" s="11" t="s">
        <v>340</v>
      </c>
      <c r="C231" s="32" t="s">
        <v>35</v>
      </c>
      <c r="D231" s="23" t="s">
        <v>43</v>
      </c>
      <c r="E231" s="23" t="s">
        <v>33</v>
      </c>
      <c r="F231" s="24" t="s">
        <v>341</v>
      </c>
      <c r="G231" s="23"/>
      <c r="H231" s="25">
        <f>H232</f>
        <v>193</v>
      </c>
      <c r="I231" s="25">
        <f aca="true" t="shared" si="105" ref="I231:R231">I232</f>
        <v>0</v>
      </c>
      <c r="J231" s="25">
        <f t="shared" si="105"/>
        <v>0</v>
      </c>
      <c r="K231" s="25">
        <f t="shared" si="105"/>
        <v>0</v>
      </c>
      <c r="L231" s="25">
        <f t="shared" si="105"/>
        <v>0</v>
      </c>
      <c r="M231" s="25">
        <f t="shared" si="105"/>
        <v>0</v>
      </c>
      <c r="N231" s="25">
        <f t="shared" si="105"/>
        <v>0</v>
      </c>
      <c r="O231" s="25">
        <f t="shared" si="105"/>
        <v>0</v>
      </c>
      <c r="P231" s="25">
        <f t="shared" si="105"/>
        <v>0</v>
      </c>
      <c r="Q231" s="25">
        <f t="shared" si="105"/>
        <v>0</v>
      </c>
      <c r="R231" s="25">
        <f t="shared" si="105"/>
        <v>175.7</v>
      </c>
      <c r="S231" s="16">
        <f t="shared" si="92"/>
        <v>-17.30000000000001</v>
      </c>
    </row>
    <row r="232" spans="1:19" s="2" customFormat="1" ht="92.25" customHeight="1">
      <c r="A232" s="57"/>
      <c r="B232" s="11" t="s">
        <v>89</v>
      </c>
      <c r="C232" s="32" t="s">
        <v>35</v>
      </c>
      <c r="D232" s="32" t="s">
        <v>43</v>
      </c>
      <c r="E232" s="32" t="s">
        <v>33</v>
      </c>
      <c r="F232" s="24" t="s">
        <v>342</v>
      </c>
      <c r="G232" s="23" t="s">
        <v>59</v>
      </c>
      <c r="H232" s="25">
        <f>214-21</f>
        <v>193</v>
      </c>
      <c r="I232" s="63"/>
      <c r="J232" s="64"/>
      <c r="K232" s="64"/>
      <c r="L232" s="64"/>
      <c r="M232" s="64"/>
      <c r="N232" s="64"/>
      <c r="O232" s="64"/>
      <c r="P232" s="64"/>
      <c r="Q232" s="64"/>
      <c r="R232" s="65">
        <v>175.7</v>
      </c>
      <c r="S232" s="16">
        <f t="shared" si="92"/>
        <v>-17.30000000000001</v>
      </c>
    </row>
    <row r="233" spans="1:19" s="1" customFormat="1" ht="45" customHeight="1">
      <c r="A233" s="56"/>
      <c r="B233" s="15" t="s">
        <v>71</v>
      </c>
      <c r="C233" s="17" t="s">
        <v>36</v>
      </c>
      <c r="D233" s="17"/>
      <c r="E233" s="17"/>
      <c r="F233" s="18"/>
      <c r="G233" s="17"/>
      <c r="H233" s="16">
        <f aca="true" t="shared" si="106" ref="H233:R233">H244+H299+H234+H238</f>
        <v>222592.58699999997</v>
      </c>
      <c r="I233" s="16" t="e">
        <f t="shared" si="106"/>
        <v>#REF!</v>
      </c>
      <c r="J233" s="16" t="e">
        <f t="shared" si="106"/>
        <v>#REF!</v>
      </c>
      <c r="K233" s="16" t="e">
        <f t="shared" si="106"/>
        <v>#REF!</v>
      </c>
      <c r="L233" s="16" t="e">
        <f t="shared" si="106"/>
        <v>#REF!</v>
      </c>
      <c r="M233" s="16" t="e">
        <f t="shared" si="106"/>
        <v>#REF!</v>
      </c>
      <c r="N233" s="16" t="e">
        <f t="shared" si="106"/>
        <v>#REF!</v>
      </c>
      <c r="O233" s="16" t="e">
        <f t="shared" si="106"/>
        <v>#REF!</v>
      </c>
      <c r="P233" s="16" t="e">
        <f t="shared" si="106"/>
        <v>#REF!</v>
      </c>
      <c r="Q233" s="16" t="e">
        <f t="shared" si="106"/>
        <v>#REF!</v>
      </c>
      <c r="R233" s="16">
        <f t="shared" si="106"/>
        <v>221648.89999999997</v>
      </c>
      <c r="S233" s="16">
        <f t="shared" si="92"/>
        <v>-943.6870000000054</v>
      </c>
    </row>
    <row r="234" spans="1:19" s="1" customFormat="1" ht="16.5" customHeight="1">
      <c r="A234" s="56"/>
      <c r="B234" s="19" t="s">
        <v>371</v>
      </c>
      <c r="C234" s="20" t="s">
        <v>36</v>
      </c>
      <c r="D234" s="20" t="s">
        <v>26</v>
      </c>
      <c r="E234" s="20" t="s">
        <v>25</v>
      </c>
      <c r="F234" s="21"/>
      <c r="G234" s="20"/>
      <c r="H234" s="22">
        <f aca="true" t="shared" si="107" ref="H234:R236">H235</f>
        <v>80.8</v>
      </c>
      <c r="I234" s="22">
        <f t="shared" si="107"/>
        <v>0</v>
      </c>
      <c r="J234" s="22">
        <f t="shared" si="107"/>
        <v>0</v>
      </c>
      <c r="K234" s="22">
        <f t="shared" si="107"/>
        <v>0</v>
      </c>
      <c r="L234" s="22">
        <f t="shared" si="107"/>
        <v>0</v>
      </c>
      <c r="M234" s="22">
        <f t="shared" si="107"/>
        <v>0</v>
      </c>
      <c r="N234" s="22">
        <f t="shared" si="107"/>
        <v>0</v>
      </c>
      <c r="O234" s="22">
        <f t="shared" si="107"/>
        <v>0</v>
      </c>
      <c r="P234" s="22">
        <f t="shared" si="107"/>
        <v>0</v>
      </c>
      <c r="Q234" s="22">
        <f t="shared" si="107"/>
        <v>0</v>
      </c>
      <c r="R234" s="22">
        <f t="shared" si="107"/>
        <v>80.8</v>
      </c>
      <c r="S234" s="16">
        <f t="shared" si="92"/>
        <v>0</v>
      </c>
    </row>
    <row r="235" spans="1:19" s="1" customFormat="1" ht="18.75" customHeight="1">
      <c r="A235" s="56"/>
      <c r="B235" s="11" t="s">
        <v>90</v>
      </c>
      <c r="C235" s="23" t="s">
        <v>36</v>
      </c>
      <c r="D235" s="23" t="s">
        <v>26</v>
      </c>
      <c r="E235" s="23" t="s">
        <v>25</v>
      </c>
      <c r="F235" s="24" t="s">
        <v>87</v>
      </c>
      <c r="G235" s="17"/>
      <c r="H235" s="25">
        <f t="shared" si="107"/>
        <v>80.8</v>
      </c>
      <c r="I235" s="25">
        <f t="shared" si="107"/>
        <v>0</v>
      </c>
      <c r="J235" s="25">
        <f t="shared" si="107"/>
        <v>0</v>
      </c>
      <c r="K235" s="25">
        <f t="shared" si="107"/>
        <v>0</v>
      </c>
      <c r="L235" s="25">
        <f t="shared" si="107"/>
        <v>0</v>
      </c>
      <c r="M235" s="25">
        <f t="shared" si="107"/>
        <v>0</v>
      </c>
      <c r="N235" s="25">
        <f t="shared" si="107"/>
        <v>0</v>
      </c>
      <c r="O235" s="25">
        <f t="shared" si="107"/>
        <v>0</v>
      </c>
      <c r="P235" s="25">
        <f t="shared" si="107"/>
        <v>0</v>
      </c>
      <c r="Q235" s="25">
        <f t="shared" si="107"/>
        <v>0</v>
      </c>
      <c r="R235" s="25">
        <f t="shared" si="107"/>
        <v>80.8</v>
      </c>
      <c r="S235" s="16">
        <f t="shared" si="92"/>
        <v>0</v>
      </c>
    </row>
    <row r="236" spans="1:19" s="1" customFormat="1" ht="15" customHeight="1">
      <c r="A236" s="56"/>
      <c r="B236" s="11" t="s">
        <v>78</v>
      </c>
      <c r="C236" s="23" t="s">
        <v>36</v>
      </c>
      <c r="D236" s="23" t="s">
        <v>26</v>
      </c>
      <c r="E236" s="23" t="s">
        <v>25</v>
      </c>
      <c r="F236" s="24" t="s">
        <v>92</v>
      </c>
      <c r="G236" s="17"/>
      <c r="H236" s="25">
        <f t="shared" si="107"/>
        <v>80.8</v>
      </c>
      <c r="I236" s="25">
        <f t="shared" si="107"/>
        <v>0</v>
      </c>
      <c r="J236" s="25">
        <f t="shared" si="107"/>
        <v>0</v>
      </c>
      <c r="K236" s="25">
        <f t="shared" si="107"/>
        <v>0</v>
      </c>
      <c r="L236" s="25">
        <f t="shared" si="107"/>
        <v>0</v>
      </c>
      <c r="M236" s="25">
        <f t="shared" si="107"/>
        <v>0</v>
      </c>
      <c r="N236" s="25">
        <f t="shared" si="107"/>
        <v>0</v>
      </c>
      <c r="O236" s="25">
        <f t="shared" si="107"/>
        <v>0</v>
      </c>
      <c r="P236" s="25">
        <f t="shared" si="107"/>
        <v>0</v>
      </c>
      <c r="Q236" s="25">
        <f t="shared" si="107"/>
        <v>0</v>
      </c>
      <c r="R236" s="25">
        <f t="shared" si="107"/>
        <v>80.8</v>
      </c>
      <c r="S236" s="16">
        <f t="shared" si="92"/>
        <v>0</v>
      </c>
    </row>
    <row r="237" spans="1:19" s="1" customFormat="1" ht="44.25" customHeight="1">
      <c r="A237" s="56"/>
      <c r="B237" s="11" t="s">
        <v>374</v>
      </c>
      <c r="C237" s="23" t="s">
        <v>36</v>
      </c>
      <c r="D237" s="23" t="s">
        <v>26</v>
      </c>
      <c r="E237" s="23" t="s">
        <v>25</v>
      </c>
      <c r="F237" s="24" t="s">
        <v>372</v>
      </c>
      <c r="G237" s="23" t="s">
        <v>58</v>
      </c>
      <c r="H237" s="25">
        <v>80.8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>
        <v>80.8</v>
      </c>
      <c r="S237" s="16">
        <f t="shared" si="92"/>
        <v>0</v>
      </c>
    </row>
    <row r="238" spans="1:19" s="1" customFormat="1" ht="24.75" customHeight="1">
      <c r="A238" s="56"/>
      <c r="B238" s="15" t="s">
        <v>70</v>
      </c>
      <c r="C238" s="17" t="s">
        <v>36</v>
      </c>
      <c r="D238" s="17" t="s">
        <v>33</v>
      </c>
      <c r="E238" s="23"/>
      <c r="F238" s="24"/>
      <c r="G238" s="23"/>
      <c r="H238" s="25">
        <f>H239</f>
        <v>166.8</v>
      </c>
      <c r="I238" s="25">
        <f aca="true" t="shared" si="108" ref="I238:R242">I239</f>
        <v>0</v>
      </c>
      <c r="J238" s="25">
        <f t="shared" si="108"/>
        <v>0</v>
      </c>
      <c r="K238" s="25">
        <f t="shared" si="108"/>
        <v>0</v>
      </c>
      <c r="L238" s="25">
        <f t="shared" si="108"/>
        <v>0</v>
      </c>
      <c r="M238" s="25">
        <f t="shared" si="108"/>
        <v>0</v>
      </c>
      <c r="N238" s="25">
        <f t="shared" si="108"/>
        <v>0</v>
      </c>
      <c r="O238" s="25">
        <f t="shared" si="108"/>
        <v>0</v>
      </c>
      <c r="P238" s="25">
        <f t="shared" si="108"/>
        <v>0</v>
      </c>
      <c r="Q238" s="25">
        <f t="shared" si="108"/>
        <v>0</v>
      </c>
      <c r="R238" s="25">
        <f t="shared" si="108"/>
        <v>166.6</v>
      </c>
      <c r="S238" s="16">
        <f t="shared" si="92"/>
        <v>-0.20000000000001705</v>
      </c>
    </row>
    <row r="239" spans="1:19" s="1" customFormat="1" ht="19.5" customHeight="1">
      <c r="A239" s="56"/>
      <c r="B239" s="19" t="s">
        <v>68</v>
      </c>
      <c r="C239" s="20" t="s">
        <v>36</v>
      </c>
      <c r="D239" s="20" t="s">
        <v>33</v>
      </c>
      <c r="E239" s="20" t="s">
        <v>29</v>
      </c>
      <c r="F239" s="24"/>
      <c r="G239" s="23"/>
      <c r="H239" s="25">
        <f>H240</f>
        <v>166.8</v>
      </c>
      <c r="I239" s="25">
        <f t="shared" si="108"/>
        <v>0</v>
      </c>
      <c r="J239" s="25">
        <f t="shared" si="108"/>
        <v>0</v>
      </c>
      <c r="K239" s="25">
        <f t="shared" si="108"/>
        <v>0</v>
      </c>
      <c r="L239" s="25">
        <f t="shared" si="108"/>
        <v>0</v>
      </c>
      <c r="M239" s="25">
        <f t="shared" si="108"/>
        <v>0</v>
      </c>
      <c r="N239" s="25">
        <f t="shared" si="108"/>
        <v>0</v>
      </c>
      <c r="O239" s="25">
        <f t="shared" si="108"/>
        <v>0</v>
      </c>
      <c r="P239" s="25">
        <f t="shared" si="108"/>
        <v>0</v>
      </c>
      <c r="Q239" s="25">
        <f t="shared" si="108"/>
        <v>0</v>
      </c>
      <c r="R239" s="25">
        <f t="shared" si="108"/>
        <v>166.6</v>
      </c>
      <c r="S239" s="16">
        <f t="shared" si="92"/>
        <v>-0.20000000000001705</v>
      </c>
    </row>
    <row r="240" spans="1:19" s="1" customFormat="1" ht="33.75" customHeight="1">
      <c r="A240" s="56"/>
      <c r="B240" s="11" t="s">
        <v>332</v>
      </c>
      <c r="C240" s="23" t="s">
        <v>36</v>
      </c>
      <c r="D240" s="23" t="s">
        <v>33</v>
      </c>
      <c r="E240" s="23" t="s">
        <v>29</v>
      </c>
      <c r="F240" s="24" t="s">
        <v>30</v>
      </c>
      <c r="G240" s="23"/>
      <c r="H240" s="25">
        <f>H241</f>
        <v>166.8</v>
      </c>
      <c r="I240" s="25">
        <f t="shared" si="108"/>
        <v>0</v>
      </c>
      <c r="J240" s="25">
        <f t="shared" si="108"/>
        <v>0</v>
      </c>
      <c r="K240" s="25">
        <f t="shared" si="108"/>
        <v>0</v>
      </c>
      <c r="L240" s="25">
        <f t="shared" si="108"/>
        <v>0</v>
      </c>
      <c r="M240" s="25">
        <f t="shared" si="108"/>
        <v>0</v>
      </c>
      <c r="N240" s="25">
        <f t="shared" si="108"/>
        <v>0</v>
      </c>
      <c r="O240" s="25">
        <f t="shared" si="108"/>
        <v>0</v>
      </c>
      <c r="P240" s="25">
        <f t="shared" si="108"/>
        <v>0</v>
      </c>
      <c r="Q240" s="25">
        <f t="shared" si="108"/>
        <v>0</v>
      </c>
      <c r="R240" s="25">
        <f t="shared" si="108"/>
        <v>166.6</v>
      </c>
      <c r="S240" s="16">
        <f t="shared" si="92"/>
        <v>-0.20000000000001705</v>
      </c>
    </row>
    <row r="241" spans="1:19" s="1" customFormat="1" ht="44.25" customHeight="1">
      <c r="A241" s="56"/>
      <c r="B241" s="11" t="s">
        <v>420</v>
      </c>
      <c r="C241" s="23" t="s">
        <v>36</v>
      </c>
      <c r="D241" s="23" t="s">
        <v>33</v>
      </c>
      <c r="E241" s="23" t="s">
        <v>29</v>
      </c>
      <c r="F241" s="24" t="s">
        <v>419</v>
      </c>
      <c r="G241" s="23"/>
      <c r="H241" s="25">
        <f>H242</f>
        <v>166.8</v>
      </c>
      <c r="I241" s="25">
        <f t="shared" si="108"/>
        <v>0</v>
      </c>
      <c r="J241" s="25">
        <f t="shared" si="108"/>
        <v>0</v>
      </c>
      <c r="K241" s="25">
        <f t="shared" si="108"/>
        <v>0</v>
      </c>
      <c r="L241" s="25">
        <f t="shared" si="108"/>
        <v>0</v>
      </c>
      <c r="M241" s="25">
        <f t="shared" si="108"/>
        <v>0</v>
      </c>
      <c r="N241" s="25">
        <f t="shared" si="108"/>
        <v>0</v>
      </c>
      <c r="O241" s="25">
        <f t="shared" si="108"/>
        <v>0</v>
      </c>
      <c r="P241" s="25">
        <f t="shared" si="108"/>
        <v>0</v>
      </c>
      <c r="Q241" s="25">
        <f t="shared" si="108"/>
        <v>0</v>
      </c>
      <c r="R241" s="25">
        <f t="shared" si="108"/>
        <v>166.6</v>
      </c>
      <c r="S241" s="16">
        <f t="shared" si="92"/>
        <v>-0.20000000000001705</v>
      </c>
    </row>
    <row r="242" spans="1:19" s="1" customFormat="1" ht="44.25" customHeight="1">
      <c r="A242" s="56"/>
      <c r="B242" s="11" t="s">
        <v>422</v>
      </c>
      <c r="C242" s="23" t="s">
        <v>36</v>
      </c>
      <c r="D242" s="23" t="s">
        <v>33</v>
      </c>
      <c r="E242" s="23" t="s">
        <v>29</v>
      </c>
      <c r="F242" s="24" t="s">
        <v>421</v>
      </c>
      <c r="G242" s="23"/>
      <c r="H242" s="25">
        <f>H243</f>
        <v>166.8</v>
      </c>
      <c r="I242" s="25">
        <f t="shared" si="108"/>
        <v>0</v>
      </c>
      <c r="J242" s="25">
        <f t="shared" si="108"/>
        <v>0</v>
      </c>
      <c r="K242" s="25">
        <f t="shared" si="108"/>
        <v>0</v>
      </c>
      <c r="L242" s="25">
        <f t="shared" si="108"/>
        <v>0</v>
      </c>
      <c r="M242" s="25">
        <f t="shared" si="108"/>
        <v>0</v>
      </c>
      <c r="N242" s="25">
        <f t="shared" si="108"/>
        <v>0</v>
      </c>
      <c r="O242" s="25">
        <f t="shared" si="108"/>
        <v>0</v>
      </c>
      <c r="P242" s="25">
        <f t="shared" si="108"/>
        <v>0</v>
      </c>
      <c r="Q242" s="25">
        <f t="shared" si="108"/>
        <v>0</v>
      </c>
      <c r="R242" s="25">
        <f t="shared" si="108"/>
        <v>166.6</v>
      </c>
      <c r="S242" s="16">
        <f t="shared" si="92"/>
        <v>-0.20000000000001705</v>
      </c>
    </row>
    <row r="243" spans="1:19" s="1" customFormat="1" ht="44.25" customHeight="1">
      <c r="A243" s="56"/>
      <c r="B243" s="11" t="s">
        <v>409</v>
      </c>
      <c r="C243" s="23" t="s">
        <v>36</v>
      </c>
      <c r="D243" s="23" t="s">
        <v>33</v>
      </c>
      <c r="E243" s="23" t="s">
        <v>29</v>
      </c>
      <c r="F243" s="24" t="s">
        <v>418</v>
      </c>
      <c r="G243" s="23" t="s">
        <v>400</v>
      </c>
      <c r="H243" s="25">
        <f>52.6+114.2</f>
        <v>166.8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>
        <v>166.6</v>
      </c>
      <c r="S243" s="16">
        <f t="shared" si="92"/>
        <v>-0.20000000000001705</v>
      </c>
    </row>
    <row r="244" spans="1:19" s="1" customFormat="1" ht="15">
      <c r="A244" s="56"/>
      <c r="B244" s="15" t="s">
        <v>1</v>
      </c>
      <c r="C244" s="17" t="s">
        <v>36</v>
      </c>
      <c r="D244" s="17" t="s">
        <v>32</v>
      </c>
      <c r="E244" s="17"/>
      <c r="F244" s="18"/>
      <c r="G244" s="17"/>
      <c r="H244" s="16">
        <f aca="true" t="shared" si="109" ref="H244:R244">H245+H257+H274</f>
        <v>214919.487</v>
      </c>
      <c r="I244" s="16" t="e">
        <f t="shared" si="109"/>
        <v>#REF!</v>
      </c>
      <c r="J244" s="16" t="e">
        <f t="shared" si="109"/>
        <v>#REF!</v>
      </c>
      <c r="K244" s="16" t="e">
        <f t="shared" si="109"/>
        <v>#REF!</v>
      </c>
      <c r="L244" s="16" t="e">
        <f t="shared" si="109"/>
        <v>#REF!</v>
      </c>
      <c r="M244" s="16" t="e">
        <f t="shared" si="109"/>
        <v>#REF!</v>
      </c>
      <c r="N244" s="16" t="e">
        <f t="shared" si="109"/>
        <v>#REF!</v>
      </c>
      <c r="O244" s="16" t="e">
        <f t="shared" si="109"/>
        <v>#REF!</v>
      </c>
      <c r="P244" s="16" t="e">
        <f t="shared" si="109"/>
        <v>#REF!</v>
      </c>
      <c r="Q244" s="16" t="e">
        <f t="shared" si="109"/>
        <v>#REF!</v>
      </c>
      <c r="R244" s="16">
        <f t="shared" si="109"/>
        <v>213975.99999999997</v>
      </c>
      <c r="S244" s="16">
        <f t="shared" si="92"/>
        <v>-943.4870000000228</v>
      </c>
    </row>
    <row r="245" spans="1:19" s="2" customFormat="1" ht="15">
      <c r="A245" s="57"/>
      <c r="B245" s="19" t="s">
        <v>11</v>
      </c>
      <c r="C245" s="20" t="s">
        <v>36</v>
      </c>
      <c r="D245" s="20" t="s">
        <v>32</v>
      </c>
      <c r="E245" s="20" t="s">
        <v>25</v>
      </c>
      <c r="F245" s="21"/>
      <c r="G245" s="20"/>
      <c r="H245" s="22">
        <f>H246</f>
        <v>57971.637</v>
      </c>
      <c r="I245" s="22" t="e">
        <f aca="true" t="shared" si="110" ref="I245:R247">I246</f>
        <v>#REF!</v>
      </c>
      <c r="J245" s="22" t="e">
        <f t="shared" si="110"/>
        <v>#REF!</v>
      </c>
      <c r="K245" s="22" t="e">
        <f t="shared" si="110"/>
        <v>#REF!</v>
      </c>
      <c r="L245" s="22" t="e">
        <f t="shared" si="110"/>
        <v>#REF!</v>
      </c>
      <c r="M245" s="22" t="e">
        <f t="shared" si="110"/>
        <v>#REF!</v>
      </c>
      <c r="N245" s="22" t="e">
        <f t="shared" si="110"/>
        <v>#REF!</v>
      </c>
      <c r="O245" s="22" t="e">
        <f t="shared" si="110"/>
        <v>#REF!</v>
      </c>
      <c r="P245" s="22" t="e">
        <f t="shared" si="110"/>
        <v>#REF!</v>
      </c>
      <c r="Q245" s="22" t="e">
        <f t="shared" si="110"/>
        <v>#REF!</v>
      </c>
      <c r="R245" s="22">
        <f t="shared" si="110"/>
        <v>57139.399999999994</v>
      </c>
      <c r="S245" s="16">
        <f t="shared" si="92"/>
        <v>-832.2370000000083</v>
      </c>
    </row>
    <row r="246" spans="1:19" s="12" customFormat="1" ht="22.5" customHeight="1">
      <c r="A246" s="56"/>
      <c r="B246" s="11" t="s">
        <v>129</v>
      </c>
      <c r="C246" s="23" t="s">
        <v>36</v>
      </c>
      <c r="D246" s="23" t="s">
        <v>32</v>
      </c>
      <c r="E246" s="23" t="s">
        <v>25</v>
      </c>
      <c r="F246" s="24" t="s">
        <v>28</v>
      </c>
      <c r="G246" s="23"/>
      <c r="H246" s="25">
        <f>H247</f>
        <v>57971.637</v>
      </c>
      <c r="I246" s="25" t="e">
        <f t="shared" si="110"/>
        <v>#REF!</v>
      </c>
      <c r="J246" s="25" t="e">
        <f t="shared" si="110"/>
        <v>#REF!</v>
      </c>
      <c r="K246" s="25" t="e">
        <f t="shared" si="110"/>
        <v>#REF!</v>
      </c>
      <c r="L246" s="25" t="e">
        <f t="shared" si="110"/>
        <v>#REF!</v>
      </c>
      <c r="M246" s="25" t="e">
        <f t="shared" si="110"/>
        <v>#REF!</v>
      </c>
      <c r="N246" s="25" t="e">
        <f t="shared" si="110"/>
        <v>#REF!</v>
      </c>
      <c r="O246" s="25" t="e">
        <f t="shared" si="110"/>
        <v>#REF!</v>
      </c>
      <c r="P246" s="25" t="e">
        <f t="shared" si="110"/>
        <v>#REF!</v>
      </c>
      <c r="Q246" s="25" t="e">
        <f t="shared" si="110"/>
        <v>#REF!</v>
      </c>
      <c r="R246" s="25">
        <f t="shared" si="110"/>
        <v>57139.399999999994</v>
      </c>
      <c r="S246" s="16">
        <f t="shared" si="92"/>
        <v>-832.2370000000083</v>
      </c>
    </row>
    <row r="247" spans="1:19" s="12" customFormat="1" ht="33.75" customHeight="1">
      <c r="A247" s="56"/>
      <c r="B247" s="11" t="s">
        <v>158</v>
      </c>
      <c r="C247" s="23" t="s">
        <v>36</v>
      </c>
      <c r="D247" s="23" t="s">
        <v>32</v>
      </c>
      <c r="E247" s="23" t="s">
        <v>25</v>
      </c>
      <c r="F247" s="24" t="s">
        <v>159</v>
      </c>
      <c r="G247" s="23"/>
      <c r="H247" s="25">
        <f>H248</f>
        <v>57971.637</v>
      </c>
      <c r="I247" s="25" t="e">
        <f t="shared" si="110"/>
        <v>#REF!</v>
      </c>
      <c r="J247" s="25" t="e">
        <f t="shared" si="110"/>
        <v>#REF!</v>
      </c>
      <c r="K247" s="25" t="e">
        <f t="shared" si="110"/>
        <v>#REF!</v>
      </c>
      <c r="L247" s="25" t="e">
        <f t="shared" si="110"/>
        <v>#REF!</v>
      </c>
      <c r="M247" s="25" t="e">
        <f t="shared" si="110"/>
        <v>#REF!</v>
      </c>
      <c r="N247" s="25" t="e">
        <f t="shared" si="110"/>
        <v>#REF!</v>
      </c>
      <c r="O247" s="25" t="e">
        <f t="shared" si="110"/>
        <v>#REF!</v>
      </c>
      <c r="P247" s="25" t="e">
        <f t="shared" si="110"/>
        <v>#REF!</v>
      </c>
      <c r="Q247" s="25" t="e">
        <f t="shared" si="110"/>
        <v>#REF!</v>
      </c>
      <c r="R247" s="25">
        <f t="shared" si="110"/>
        <v>57139.399999999994</v>
      </c>
      <c r="S247" s="16">
        <f t="shared" si="92"/>
        <v>-832.2370000000083</v>
      </c>
    </row>
    <row r="248" spans="1:19" s="12" customFormat="1" ht="30">
      <c r="A248" s="56"/>
      <c r="B248" s="11" t="s">
        <v>161</v>
      </c>
      <c r="C248" s="23" t="s">
        <v>36</v>
      </c>
      <c r="D248" s="23" t="s">
        <v>32</v>
      </c>
      <c r="E248" s="23" t="s">
        <v>25</v>
      </c>
      <c r="F248" s="24" t="s">
        <v>160</v>
      </c>
      <c r="G248" s="23"/>
      <c r="H248" s="25">
        <f aca="true" t="shared" si="111" ref="H248:R248">H249+H250+H252+H253+H254+H255+H256+H251</f>
        <v>57971.637</v>
      </c>
      <c r="I248" s="25" t="e">
        <f t="shared" si="111"/>
        <v>#REF!</v>
      </c>
      <c r="J248" s="25" t="e">
        <f t="shared" si="111"/>
        <v>#REF!</v>
      </c>
      <c r="K248" s="25" t="e">
        <f t="shared" si="111"/>
        <v>#REF!</v>
      </c>
      <c r="L248" s="25" t="e">
        <f t="shared" si="111"/>
        <v>#REF!</v>
      </c>
      <c r="M248" s="25" t="e">
        <f t="shared" si="111"/>
        <v>#REF!</v>
      </c>
      <c r="N248" s="25" t="e">
        <f t="shared" si="111"/>
        <v>#REF!</v>
      </c>
      <c r="O248" s="25" t="e">
        <f t="shared" si="111"/>
        <v>#REF!</v>
      </c>
      <c r="P248" s="25" t="e">
        <f t="shared" si="111"/>
        <v>#REF!</v>
      </c>
      <c r="Q248" s="25" t="e">
        <f t="shared" si="111"/>
        <v>#REF!</v>
      </c>
      <c r="R248" s="25">
        <f t="shared" si="111"/>
        <v>57139.399999999994</v>
      </c>
      <c r="S248" s="16">
        <f t="shared" si="92"/>
        <v>-832.2370000000083</v>
      </c>
    </row>
    <row r="249" spans="1:20" s="1" customFormat="1" ht="51.75" customHeight="1">
      <c r="A249" s="56"/>
      <c r="B249" s="11" t="s">
        <v>316</v>
      </c>
      <c r="C249" s="23" t="s">
        <v>36</v>
      </c>
      <c r="D249" s="23" t="s">
        <v>32</v>
      </c>
      <c r="E249" s="23" t="s">
        <v>25</v>
      </c>
      <c r="F249" s="24" t="s">
        <v>163</v>
      </c>
      <c r="G249" s="23" t="s">
        <v>58</v>
      </c>
      <c r="H249" s="25">
        <f>14662.8+40+248.4+40+43.3-4.5+21.1+20+41.2+57.8+35+40+6.5+25+3+5+34.8+70.5+4.8+8.4+90-9.9-25.063-408.8+5+75.7+105.6+63.7+87.4+10-1488.2+519.7</f>
        <v>14428.237</v>
      </c>
      <c r="I249" s="43" t="e">
        <f>I250+#REF!+#REF!</f>
        <v>#REF!</v>
      </c>
      <c r="J249" s="44" t="e">
        <f>J250+#REF!+#REF!</f>
        <v>#REF!</v>
      </c>
      <c r="K249" s="44" t="e">
        <f>K250+#REF!+#REF!</f>
        <v>#REF!</v>
      </c>
      <c r="L249" s="44" t="e">
        <f>L250+#REF!+#REF!</f>
        <v>#REF!</v>
      </c>
      <c r="M249" s="44" t="e">
        <f>M250+#REF!+#REF!</f>
        <v>#REF!</v>
      </c>
      <c r="N249" s="44" t="e">
        <f>N250+#REF!+#REF!</f>
        <v>#REF!</v>
      </c>
      <c r="O249" s="44" t="e">
        <f>O250+#REF!+#REF!</f>
        <v>#REF!</v>
      </c>
      <c r="P249" s="44" t="e">
        <f>P250+#REF!+#REF!</f>
        <v>#REF!</v>
      </c>
      <c r="Q249" s="44" t="e">
        <f>Q250+#REF!+#REF!</f>
        <v>#REF!</v>
      </c>
      <c r="R249" s="13">
        <v>14423.3</v>
      </c>
      <c r="S249" s="16">
        <f t="shared" si="92"/>
        <v>-4.936999999999898</v>
      </c>
      <c r="T249" s="87"/>
    </row>
    <row r="250" spans="1:19" s="1" customFormat="1" ht="50.25" customHeight="1">
      <c r="A250" s="56"/>
      <c r="B250" s="11" t="s">
        <v>162</v>
      </c>
      <c r="C250" s="23" t="s">
        <v>36</v>
      </c>
      <c r="D250" s="23" t="s">
        <v>32</v>
      </c>
      <c r="E250" s="23" t="s">
        <v>25</v>
      </c>
      <c r="F250" s="24" t="s">
        <v>163</v>
      </c>
      <c r="G250" s="23" t="s">
        <v>54</v>
      </c>
      <c r="H250" s="25">
        <f>153.5+4.5+0.7+5.5-49.8</f>
        <v>114.39999999999999</v>
      </c>
      <c r="I250" s="43" t="e">
        <f aca="true" t="shared" si="112" ref="I250:Q250">I252</f>
        <v>#REF!</v>
      </c>
      <c r="J250" s="44" t="e">
        <f t="shared" si="112"/>
        <v>#REF!</v>
      </c>
      <c r="K250" s="44" t="e">
        <f t="shared" si="112"/>
        <v>#REF!</v>
      </c>
      <c r="L250" s="44" t="e">
        <f t="shared" si="112"/>
        <v>#REF!</v>
      </c>
      <c r="M250" s="44" t="e">
        <f t="shared" si="112"/>
        <v>#REF!</v>
      </c>
      <c r="N250" s="44" t="e">
        <f t="shared" si="112"/>
        <v>#REF!</v>
      </c>
      <c r="O250" s="44" t="e">
        <f t="shared" si="112"/>
        <v>#REF!</v>
      </c>
      <c r="P250" s="44" t="e">
        <f t="shared" si="112"/>
        <v>#REF!</v>
      </c>
      <c r="Q250" s="44" t="e">
        <f t="shared" si="112"/>
        <v>#REF!</v>
      </c>
      <c r="R250" s="13">
        <v>113.3</v>
      </c>
      <c r="S250" s="16">
        <f t="shared" si="92"/>
        <v>-1.0999999999999943</v>
      </c>
    </row>
    <row r="251" spans="1:19" s="1" customFormat="1" ht="72.75" customHeight="1">
      <c r="A251" s="56"/>
      <c r="B251" s="11" t="s">
        <v>376</v>
      </c>
      <c r="C251" s="23" t="s">
        <v>36</v>
      </c>
      <c r="D251" s="23" t="s">
        <v>32</v>
      </c>
      <c r="E251" s="23" t="s">
        <v>25</v>
      </c>
      <c r="F251" s="24" t="s">
        <v>349</v>
      </c>
      <c r="G251" s="23" t="s">
        <v>58</v>
      </c>
      <c r="H251" s="25">
        <v>1500</v>
      </c>
      <c r="I251" s="43"/>
      <c r="J251" s="44"/>
      <c r="K251" s="44"/>
      <c r="L251" s="44"/>
      <c r="M251" s="44"/>
      <c r="N251" s="44"/>
      <c r="O251" s="44"/>
      <c r="P251" s="44"/>
      <c r="Q251" s="44"/>
      <c r="R251" s="13">
        <v>1500</v>
      </c>
      <c r="S251" s="16">
        <f t="shared" si="92"/>
        <v>0</v>
      </c>
    </row>
    <row r="252" spans="1:19" s="1" customFormat="1" ht="90.75" customHeight="1">
      <c r="A252" s="56"/>
      <c r="B252" s="11" t="s">
        <v>282</v>
      </c>
      <c r="C252" s="23" t="s">
        <v>36</v>
      </c>
      <c r="D252" s="23" t="s">
        <v>32</v>
      </c>
      <c r="E252" s="23" t="s">
        <v>25</v>
      </c>
      <c r="F252" s="24" t="s">
        <v>164</v>
      </c>
      <c r="G252" s="23" t="s">
        <v>59</v>
      </c>
      <c r="H252" s="25">
        <f>32207.4-7.5+334.5+2000+500+0.3+44.7+3413.1</f>
        <v>38492.5</v>
      </c>
      <c r="I252" s="26" t="e">
        <f>#REF!+#REF!+#REF!+#REF!+#REF!+#REF!+#REF!+I304</f>
        <v>#REF!</v>
      </c>
      <c r="J252" s="27" t="e">
        <f>#REF!+#REF!+#REF!+#REF!+#REF!+#REF!+#REF!+J304</f>
        <v>#REF!</v>
      </c>
      <c r="K252" s="27" t="e">
        <f>#REF!+#REF!+#REF!+#REF!+#REF!+#REF!+#REF!+K304</f>
        <v>#REF!</v>
      </c>
      <c r="L252" s="27" t="e">
        <f>#REF!+#REF!+#REF!+#REF!+#REF!+#REF!+#REF!+L304</f>
        <v>#REF!</v>
      </c>
      <c r="M252" s="27" t="e">
        <f>#REF!+#REF!+#REF!+#REF!+#REF!+#REF!+#REF!+M304</f>
        <v>#REF!</v>
      </c>
      <c r="N252" s="27" t="e">
        <f>#REF!+#REF!+#REF!+#REF!+#REF!+#REF!+#REF!+N304</f>
        <v>#REF!</v>
      </c>
      <c r="O252" s="27" t="e">
        <f>#REF!+#REF!+#REF!+#REF!+#REF!+#REF!+#REF!+O304</f>
        <v>#REF!</v>
      </c>
      <c r="P252" s="27" t="e">
        <f>#REF!+#REF!+#REF!+#REF!+#REF!+#REF!+#REF!+P304</f>
        <v>#REF!</v>
      </c>
      <c r="Q252" s="27" t="e">
        <f>#REF!+#REF!+#REF!+#REF!+#REF!+#REF!+#REF!+Q304</f>
        <v>#REF!</v>
      </c>
      <c r="R252" s="13">
        <v>38492.5</v>
      </c>
      <c r="S252" s="16">
        <f t="shared" si="92"/>
        <v>0</v>
      </c>
    </row>
    <row r="253" spans="1:19" s="1" customFormat="1" ht="63.75" customHeight="1">
      <c r="A253" s="56"/>
      <c r="B253" s="11" t="s">
        <v>315</v>
      </c>
      <c r="C253" s="23" t="s">
        <v>36</v>
      </c>
      <c r="D253" s="32" t="s">
        <v>32</v>
      </c>
      <c r="E253" s="23" t="s">
        <v>25</v>
      </c>
      <c r="F253" s="24" t="s">
        <v>164</v>
      </c>
      <c r="G253" s="23" t="s">
        <v>58</v>
      </c>
      <c r="H253" s="25">
        <f>605.1-159-168-0.3-44.7</f>
        <v>233.10000000000002</v>
      </c>
      <c r="I253" s="26"/>
      <c r="J253" s="27"/>
      <c r="K253" s="27"/>
      <c r="L253" s="27"/>
      <c r="M253" s="27"/>
      <c r="N253" s="27"/>
      <c r="O253" s="27"/>
      <c r="P253" s="27"/>
      <c r="Q253" s="27"/>
      <c r="R253" s="13">
        <v>233.1</v>
      </c>
      <c r="S253" s="16">
        <f t="shared" si="92"/>
        <v>0</v>
      </c>
    </row>
    <row r="254" spans="1:19" s="1" customFormat="1" ht="125.25" customHeight="1">
      <c r="A254" s="56"/>
      <c r="B254" s="11" t="s">
        <v>134</v>
      </c>
      <c r="C254" s="23" t="s">
        <v>36</v>
      </c>
      <c r="D254" s="32" t="s">
        <v>32</v>
      </c>
      <c r="E254" s="23" t="s">
        <v>25</v>
      </c>
      <c r="F254" s="42" t="s">
        <v>166</v>
      </c>
      <c r="G254" s="23" t="s">
        <v>59</v>
      </c>
      <c r="H254" s="25">
        <f>498.4-42.1-11.8-107</f>
        <v>337.49999999999994</v>
      </c>
      <c r="I254" s="26"/>
      <c r="J254" s="27"/>
      <c r="K254" s="27"/>
      <c r="L254" s="27"/>
      <c r="M254" s="27"/>
      <c r="N254" s="27"/>
      <c r="O254" s="27"/>
      <c r="P254" s="27"/>
      <c r="Q254" s="27"/>
      <c r="R254" s="13">
        <v>337.5</v>
      </c>
      <c r="S254" s="16">
        <f t="shared" si="92"/>
        <v>0</v>
      </c>
    </row>
    <row r="255" spans="1:19" s="1" customFormat="1" ht="90">
      <c r="A255" s="56"/>
      <c r="B255" s="11" t="s">
        <v>165</v>
      </c>
      <c r="C255" s="23" t="s">
        <v>36</v>
      </c>
      <c r="D255" s="32" t="s">
        <v>32</v>
      </c>
      <c r="E255" s="23" t="s">
        <v>25</v>
      </c>
      <c r="F255" s="42" t="s">
        <v>166</v>
      </c>
      <c r="G255" s="23" t="s">
        <v>60</v>
      </c>
      <c r="H255" s="25">
        <f>21.6+11.8-4.4</f>
        <v>29.000000000000007</v>
      </c>
      <c r="I255" s="26"/>
      <c r="J255" s="27"/>
      <c r="K255" s="27"/>
      <c r="L255" s="27"/>
      <c r="M255" s="27"/>
      <c r="N255" s="27"/>
      <c r="O255" s="27"/>
      <c r="P255" s="27"/>
      <c r="Q255" s="27"/>
      <c r="R255" s="13">
        <v>29</v>
      </c>
      <c r="S255" s="16">
        <f t="shared" si="92"/>
        <v>0</v>
      </c>
    </row>
    <row r="256" spans="1:19" s="1" customFormat="1" ht="68.25" customHeight="1">
      <c r="A256" s="56"/>
      <c r="B256" s="11" t="s">
        <v>317</v>
      </c>
      <c r="C256" s="23" t="s">
        <v>36</v>
      </c>
      <c r="D256" s="32" t="s">
        <v>32</v>
      </c>
      <c r="E256" s="23" t="s">
        <v>25</v>
      </c>
      <c r="F256" s="24" t="s">
        <v>167</v>
      </c>
      <c r="G256" s="23" t="s">
        <v>58</v>
      </c>
      <c r="H256" s="25">
        <f>2799.4+37.5</f>
        <v>2836.9</v>
      </c>
      <c r="I256" s="26"/>
      <c r="J256" s="27"/>
      <c r="K256" s="27"/>
      <c r="L256" s="27"/>
      <c r="M256" s="27"/>
      <c r="N256" s="27"/>
      <c r="O256" s="27"/>
      <c r="P256" s="27"/>
      <c r="Q256" s="27"/>
      <c r="R256" s="13">
        <v>2010.7</v>
      </c>
      <c r="S256" s="16">
        <f t="shared" si="92"/>
        <v>-826.2</v>
      </c>
    </row>
    <row r="257" spans="1:19" s="2" customFormat="1" ht="15">
      <c r="A257" s="57"/>
      <c r="B257" s="19" t="s">
        <v>14</v>
      </c>
      <c r="C257" s="20" t="s">
        <v>36</v>
      </c>
      <c r="D257" s="20" t="s">
        <v>32</v>
      </c>
      <c r="E257" s="20" t="s">
        <v>29</v>
      </c>
      <c r="F257" s="21"/>
      <c r="G257" s="20"/>
      <c r="H257" s="22">
        <f>H258</f>
        <v>151145.74999999997</v>
      </c>
      <c r="I257" s="22">
        <f aca="true" t="shared" si="113" ref="I257:R259">I258</f>
        <v>0</v>
      </c>
      <c r="J257" s="22">
        <f t="shared" si="113"/>
        <v>0</v>
      </c>
      <c r="K257" s="22">
        <f t="shared" si="113"/>
        <v>0</v>
      </c>
      <c r="L257" s="22">
        <f t="shared" si="113"/>
        <v>0</v>
      </c>
      <c r="M257" s="22">
        <f t="shared" si="113"/>
        <v>0</v>
      </c>
      <c r="N257" s="22">
        <f t="shared" si="113"/>
        <v>0</v>
      </c>
      <c r="O257" s="22">
        <f t="shared" si="113"/>
        <v>0</v>
      </c>
      <c r="P257" s="22">
        <f t="shared" si="113"/>
        <v>0</v>
      </c>
      <c r="Q257" s="22">
        <f t="shared" si="113"/>
        <v>0</v>
      </c>
      <c r="R257" s="22">
        <f t="shared" si="113"/>
        <v>151139.8</v>
      </c>
      <c r="S257" s="16">
        <f t="shared" si="92"/>
        <v>-5.949999999982538</v>
      </c>
    </row>
    <row r="258" spans="1:19" s="2" customFormat="1" ht="15">
      <c r="A258" s="57"/>
      <c r="B258" s="11" t="s">
        <v>129</v>
      </c>
      <c r="C258" s="23" t="s">
        <v>36</v>
      </c>
      <c r="D258" s="23" t="s">
        <v>32</v>
      </c>
      <c r="E258" s="23" t="s">
        <v>29</v>
      </c>
      <c r="F258" s="24" t="s">
        <v>28</v>
      </c>
      <c r="G258" s="23"/>
      <c r="H258" s="25">
        <f>H259</f>
        <v>151145.74999999997</v>
      </c>
      <c r="I258" s="25">
        <f t="shared" si="113"/>
        <v>0</v>
      </c>
      <c r="J258" s="25">
        <f t="shared" si="113"/>
        <v>0</v>
      </c>
      <c r="K258" s="25">
        <f t="shared" si="113"/>
        <v>0</v>
      </c>
      <c r="L258" s="25">
        <f t="shared" si="113"/>
        <v>0</v>
      </c>
      <c r="M258" s="25">
        <f t="shared" si="113"/>
        <v>0</v>
      </c>
      <c r="N258" s="25">
        <f t="shared" si="113"/>
        <v>0</v>
      </c>
      <c r="O258" s="25">
        <f t="shared" si="113"/>
        <v>0</v>
      </c>
      <c r="P258" s="25">
        <f t="shared" si="113"/>
        <v>0</v>
      </c>
      <c r="Q258" s="25">
        <f t="shared" si="113"/>
        <v>0</v>
      </c>
      <c r="R258" s="25">
        <f t="shared" si="113"/>
        <v>151139.8</v>
      </c>
      <c r="S258" s="16">
        <f t="shared" si="92"/>
        <v>-5.949999999982538</v>
      </c>
    </row>
    <row r="259" spans="1:19" s="2" customFormat="1" ht="30">
      <c r="A259" s="57"/>
      <c r="B259" s="11" t="s">
        <v>168</v>
      </c>
      <c r="C259" s="23" t="s">
        <v>36</v>
      </c>
      <c r="D259" s="23" t="s">
        <v>32</v>
      </c>
      <c r="E259" s="23" t="s">
        <v>29</v>
      </c>
      <c r="F259" s="24" t="s">
        <v>169</v>
      </c>
      <c r="G259" s="23"/>
      <c r="H259" s="25">
        <f>H260</f>
        <v>151145.74999999997</v>
      </c>
      <c r="I259" s="25">
        <f t="shared" si="113"/>
        <v>0</v>
      </c>
      <c r="J259" s="25">
        <f t="shared" si="113"/>
        <v>0</v>
      </c>
      <c r="K259" s="25">
        <f t="shared" si="113"/>
        <v>0</v>
      </c>
      <c r="L259" s="25">
        <f t="shared" si="113"/>
        <v>0</v>
      </c>
      <c r="M259" s="25">
        <f t="shared" si="113"/>
        <v>0</v>
      </c>
      <c r="N259" s="25">
        <f t="shared" si="113"/>
        <v>0</v>
      </c>
      <c r="O259" s="25">
        <f t="shared" si="113"/>
        <v>0</v>
      </c>
      <c r="P259" s="25">
        <f t="shared" si="113"/>
        <v>0</v>
      </c>
      <c r="Q259" s="25">
        <f t="shared" si="113"/>
        <v>0</v>
      </c>
      <c r="R259" s="25">
        <f t="shared" si="113"/>
        <v>151139.8</v>
      </c>
      <c r="S259" s="16">
        <f t="shared" si="92"/>
        <v>-5.949999999982538</v>
      </c>
    </row>
    <row r="260" spans="1:19" s="2" customFormat="1" ht="21" customHeight="1">
      <c r="A260" s="57"/>
      <c r="B260" s="11" t="s">
        <v>293</v>
      </c>
      <c r="C260" s="23" t="s">
        <v>36</v>
      </c>
      <c r="D260" s="23" t="s">
        <v>32</v>
      </c>
      <c r="E260" s="23" t="s">
        <v>29</v>
      </c>
      <c r="F260" s="24" t="s">
        <v>286</v>
      </c>
      <c r="G260" s="23"/>
      <c r="H260" s="25">
        <f>H262+H263+H264+H265+H267+H268+H269+H270+H271+H272+H273+H266+H261</f>
        <v>151145.74999999997</v>
      </c>
      <c r="I260" s="25">
        <f aca="true" t="shared" si="114" ref="I260:R260">I262+I263+I264+I265+I267+I268+I269+I270+I271+I272+I273+I266+I261</f>
        <v>0</v>
      </c>
      <c r="J260" s="25">
        <f t="shared" si="114"/>
        <v>0</v>
      </c>
      <c r="K260" s="25">
        <f t="shared" si="114"/>
        <v>0</v>
      </c>
      <c r="L260" s="25">
        <f t="shared" si="114"/>
        <v>0</v>
      </c>
      <c r="M260" s="25">
        <f t="shared" si="114"/>
        <v>0</v>
      </c>
      <c r="N260" s="25">
        <f t="shared" si="114"/>
        <v>0</v>
      </c>
      <c r="O260" s="25">
        <f t="shared" si="114"/>
        <v>0</v>
      </c>
      <c r="P260" s="25">
        <f t="shared" si="114"/>
        <v>0</v>
      </c>
      <c r="Q260" s="25">
        <f t="shared" si="114"/>
        <v>0</v>
      </c>
      <c r="R260" s="25">
        <f t="shared" si="114"/>
        <v>151139.8</v>
      </c>
      <c r="S260" s="16">
        <f t="shared" si="92"/>
        <v>-5.949999999982538</v>
      </c>
    </row>
    <row r="261" spans="1:19" s="2" customFormat="1" ht="72.75" customHeight="1">
      <c r="A261" s="57"/>
      <c r="B261" s="11" t="s">
        <v>451</v>
      </c>
      <c r="C261" s="23" t="s">
        <v>36</v>
      </c>
      <c r="D261" s="23" t="s">
        <v>32</v>
      </c>
      <c r="E261" s="23" t="s">
        <v>29</v>
      </c>
      <c r="F261" s="24" t="s">
        <v>450</v>
      </c>
      <c r="G261" s="23" t="s">
        <v>59</v>
      </c>
      <c r="H261" s="25">
        <v>200</v>
      </c>
      <c r="I261" s="77"/>
      <c r="J261" s="78"/>
      <c r="K261" s="78"/>
      <c r="L261" s="78"/>
      <c r="M261" s="78"/>
      <c r="N261" s="78"/>
      <c r="O261" s="78"/>
      <c r="P261" s="78"/>
      <c r="Q261" s="78"/>
      <c r="R261" s="25">
        <v>200</v>
      </c>
      <c r="S261" s="16">
        <f t="shared" si="92"/>
        <v>0</v>
      </c>
    </row>
    <row r="262" spans="1:20" s="1" customFormat="1" ht="60" customHeight="1">
      <c r="A262" s="56"/>
      <c r="B262" s="11" t="s">
        <v>318</v>
      </c>
      <c r="C262" s="23" t="s">
        <v>36</v>
      </c>
      <c r="D262" s="23" t="s">
        <v>32</v>
      </c>
      <c r="E262" s="23" t="s">
        <v>29</v>
      </c>
      <c r="F262" s="24" t="s">
        <v>171</v>
      </c>
      <c r="G262" s="23" t="s">
        <v>58</v>
      </c>
      <c r="H262" s="25">
        <f>17839+55+303.3+55.6-156+328.8-0.2-469.1+100+366.1-3+23-10.1+8+1578.9-12+60+300-19.8+10+300+35+15+9.6+45+9.1+1+246+48+52.1+16.3+1405+60-350.9+360.8-635.1+16.85+10.2+189.3+2+6-299.3+1613.2+0.2</f>
        <v>23512.849999999995</v>
      </c>
      <c r="I262" s="26"/>
      <c r="J262" s="27"/>
      <c r="K262" s="27"/>
      <c r="L262" s="27"/>
      <c r="M262" s="27"/>
      <c r="N262" s="27"/>
      <c r="O262" s="27"/>
      <c r="P262" s="27"/>
      <c r="Q262" s="27"/>
      <c r="R262" s="13">
        <v>23512.1</v>
      </c>
      <c r="S262" s="16">
        <f t="shared" si="92"/>
        <v>-0.749999999996362</v>
      </c>
      <c r="T262" s="87"/>
    </row>
    <row r="263" spans="1:19" s="1" customFormat="1" ht="51" customHeight="1">
      <c r="A263" s="56"/>
      <c r="B263" s="11" t="s">
        <v>170</v>
      </c>
      <c r="C263" s="23" t="s">
        <v>36</v>
      </c>
      <c r="D263" s="23" t="s">
        <v>32</v>
      </c>
      <c r="E263" s="23" t="s">
        <v>29</v>
      </c>
      <c r="F263" s="24" t="s">
        <v>172</v>
      </c>
      <c r="G263" s="23" t="s">
        <v>54</v>
      </c>
      <c r="H263" s="79">
        <f>795.5+3+10+10.1+12-162.8-57</f>
        <v>610.8</v>
      </c>
      <c r="I263" s="26"/>
      <c r="J263" s="27"/>
      <c r="K263" s="27"/>
      <c r="L263" s="27"/>
      <c r="M263" s="27"/>
      <c r="N263" s="27"/>
      <c r="O263" s="27"/>
      <c r="P263" s="27"/>
      <c r="Q263" s="27"/>
      <c r="R263" s="13">
        <v>609.3</v>
      </c>
      <c r="S263" s="16">
        <f t="shared" si="92"/>
        <v>-1.5</v>
      </c>
    </row>
    <row r="264" spans="1:19" s="1" customFormat="1" ht="75">
      <c r="A264" s="56"/>
      <c r="B264" s="11" t="s">
        <v>432</v>
      </c>
      <c r="C264" s="23" t="s">
        <v>36</v>
      </c>
      <c r="D264" s="23" t="s">
        <v>32</v>
      </c>
      <c r="E264" s="23" t="s">
        <v>29</v>
      </c>
      <c r="F264" s="24" t="s">
        <v>173</v>
      </c>
      <c r="G264" s="32" t="s">
        <v>59</v>
      </c>
      <c r="H264" s="25">
        <f>93277.6+24775.7+24.5+597.4+2601.1+38.3</f>
        <v>121314.6</v>
      </c>
      <c r="I264" s="26">
        <f aca="true" t="shared" si="115" ref="I264:Q264">I265+I289</f>
        <v>0</v>
      </c>
      <c r="J264" s="27">
        <f t="shared" si="115"/>
        <v>0</v>
      </c>
      <c r="K264" s="27">
        <f t="shared" si="115"/>
        <v>0</v>
      </c>
      <c r="L264" s="27">
        <f t="shared" si="115"/>
        <v>0</v>
      </c>
      <c r="M264" s="27">
        <f t="shared" si="115"/>
        <v>0</v>
      </c>
      <c r="N264" s="27">
        <f t="shared" si="115"/>
        <v>0</v>
      </c>
      <c r="O264" s="27">
        <f t="shared" si="115"/>
        <v>0</v>
      </c>
      <c r="P264" s="27">
        <f t="shared" si="115"/>
        <v>0</v>
      </c>
      <c r="Q264" s="27">
        <f t="shared" si="115"/>
        <v>0</v>
      </c>
      <c r="R264" s="13">
        <v>121314.6</v>
      </c>
      <c r="S264" s="16">
        <f t="shared" si="92"/>
        <v>0</v>
      </c>
    </row>
    <row r="265" spans="1:19" s="1" customFormat="1" ht="42" customHeight="1">
      <c r="A265" s="56"/>
      <c r="B265" s="11" t="s">
        <v>433</v>
      </c>
      <c r="C265" s="23" t="s">
        <v>36</v>
      </c>
      <c r="D265" s="23" t="s">
        <v>32</v>
      </c>
      <c r="E265" s="23" t="s">
        <v>29</v>
      </c>
      <c r="F265" s="24" t="s">
        <v>173</v>
      </c>
      <c r="G265" s="32" t="s">
        <v>58</v>
      </c>
      <c r="H265" s="25">
        <f>1806.4-10.5+0.1-24.5-597.4-38.3</f>
        <v>1135.8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3">
        <v>1135.8</v>
      </c>
      <c r="S265" s="16">
        <f t="shared" si="92"/>
        <v>0</v>
      </c>
    </row>
    <row r="266" spans="1:19" s="1" customFormat="1" ht="42" customHeight="1">
      <c r="A266" s="56"/>
      <c r="B266" s="11" t="s">
        <v>434</v>
      </c>
      <c r="C266" s="23" t="s">
        <v>36</v>
      </c>
      <c r="D266" s="23" t="s">
        <v>32</v>
      </c>
      <c r="E266" s="23" t="s">
        <v>29</v>
      </c>
      <c r="F266" s="24" t="s">
        <v>173</v>
      </c>
      <c r="G266" s="32" t="s">
        <v>60</v>
      </c>
      <c r="H266" s="25">
        <v>10.5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3">
        <v>10.5</v>
      </c>
      <c r="S266" s="16">
        <f aca="true" t="shared" si="116" ref="S266:S329">R266-H266</f>
        <v>0</v>
      </c>
    </row>
    <row r="267" spans="1:19" s="1" customFormat="1" ht="125.25" customHeight="1">
      <c r="A267" s="56"/>
      <c r="B267" s="11" t="s">
        <v>185</v>
      </c>
      <c r="C267" s="23" t="s">
        <v>36</v>
      </c>
      <c r="D267" s="32" t="s">
        <v>32</v>
      </c>
      <c r="E267" s="23" t="s">
        <v>29</v>
      </c>
      <c r="F267" s="42" t="s">
        <v>174</v>
      </c>
      <c r="G267" s="23" t="s">
        <v>59</v>
      </c>
      <c r="H267" s="25">
        <f>1748.8+42.1-1066</f>
        <v>724.8999999999999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3">
        <v>724.9</v>
      </c>
      <c r="S267" s="16">
        <f t="shared" si="116"/>
        <v>0</v>
      </c>
    </row>
    <row r="268" spans="1:19" s="1" customFormat="1" ht="90">
      <c r="A268" s="56"/>
      <c r="B268" s="11" t="s">
        <v>165</v>
      </c>
      <c r="C268" s="23" t="s">
        <v>36</v>
      </c>
      <c r="D268" s="32" t="s">
        <v>32</v>
      </c>
      <c r="E268" s="23" t="s">
        <v>29</v>
      </c>
      <c r="F268" s="42" t="s">
        <v>174</v>
      </c>
      <c r="G268" s="23" t="s">
        <v>60</v>
      </c>
      <c r="H268" s="25">
        <f>92.2-70.8</f>
        <v>21.400000000000006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3">
        <v>21.4</v>
      </c>
      <c r="S268" s="16">
        <f t="shared" si="116"/>
        <v>0</v>
      </c>
    </row>
    <row r="269" spans="1:19" s="1" customFormat="1" ht="90.75" customHeight="1">
      <c r="A269" s="56"/>
      <c r="B269" s="11" t="s">
        <v>181</v>
      </c>
      <c r="C269" s="23" t="s">
        <v>36</v>
      </c>
      <c r="D269" s="23" t="s">
        <v>32</v>
      </c>
      <c r="E269" s="23" t="s">
        <v>29</v>
      </c>
      <c r="F269" s="24" t="s">
        <v>182</v>
      </c>
      <c r="G269" s="23" t="s">
        <v>59</v>
      </c>
      <c r="H269" s="25">
        <f>3012.3+70-33</f>
        <v>3049.3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3">
        <v>3048.2</v>
      </c>
      <c r="S269" s="16">
        <f t="shared" si="116"/>
        <v>-1.1000000000003638</v>
      </c>
    </row>
    <row r="270" spans="1:19" s="1" customFormat="1" ht="55.5" customHeight="1">
      <c r="A270" s="56"/>
      <c r="B270" s="11" t="s">
        <v>183</v>
      </c>
      <c r="C270" s="23" t="s">
        <v>36</v>
      </c>
      <c r="D270" s="23" t="s">
        <v>32</v>
      </c>
      <c r="E270" s="23" t="s">
        <v>29</v>
      </c>
      <c r="F270" s="24" t="s">
        <v>182</v>
      </c>
      <c r="G270" s="23" t="s">
        <v>58</v>
      </c>
      <c r="H270" s="25">
        <f>44.4+(63.6)+60+400.1-4</f>
        <v>564.1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3">
        <v>562.9</v>
      </c>
      <c r="S270" s="16">
        <f t="shared" si="116"/>
        <v>-1.2000000000000455</v>
      </c>
    </row>
    <row r="271" spans="1:19" s="1" customFormat="1" ht="42.75" customHeight="1">
      <c r="A271" s="56"/>
      <c r="B271" s="11" t="s">
        <v>184</v>
      </c>
      <c r="C271" s="23" t="s">
        <v>36</v>
      </c>
      <c r="D271" s="23" t="s">
        <v>32</v>
      </c>
      <c r="E271" s="23" t="s">
        <v>29</v>
      </c>
      <c r="F271" s="24" t="s">
        <v>182</v>
      </c>
      <c r="G271" s="23" t="s">
        <v>54</v>
      </c>
      <c r="H271" s="25">
        <f>13-11.5</f>
        <v>1.5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3">
        <v>0.1</v>
      </c>
      <c r="S271" s="16">
        <f t="shared" si="116"/>
        <v>-1.4</v>
      </c>
    </row>
    <row r="272" spans="1:19" s="1" customFormat="1" ht="81" customHeight="1">
      <c r="A272" s="56"/>
      <c r="B272" s="11" t="s">
        <v>192</v>
      </c>
      <c r="C272" s="23" t="s">
        <v>36</v>
      </c>
      <c r="D272" s="23" t="s">
        <v>32</v>
      </c>
      <c r="E272" s="23" t="s">
        <v>29</v>
      </c>
      <c r="F272" s="24" t="s">
        <v>186</v>
      </c>
      <c r="G272" s="23" t="s">
        <v>59</v>
      </c>
      <c r="H272" s="25">
        <f>1157.7-1157.7</f>
        <v>0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3"/>
      <c r="S272" s="16">
        <f t="shared" si="116"/>
        <v>0</v>
      </c>
    </row>
    <row r="273" spans="1:19" s="1" customFormat="1" ht="48.75" customHeight="1">
      <c r="A273" s="56"/>
      <c r="B273" s="11" t="s">
        <v>319</v>
      </c>
      <c r="C273" s="23" t="s">
        <v>36</v>
      </c>
      <c r="D273" s="23" t="s">
        <v>32</v>
      </c>
      <c r="E273" s="23" t="s">
        <v>29</v>
      </c>
      <c r="F273" s="24" t="s">
        <v>186</v>
      </c>
      <c r="G273" s="23" t="s">
        <v>58</v>
      </c>
      <c r="H273" s="25">
        <f>26.4-26.4</f>
        <v>0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3"/>
      <c r="S273" s="16">
        <f t="shared" si="116"/>
        <v>0</v>
      </c>
    </row>
    <row r="274" spans="1:19" s="91" customFormat="1" ht="15.75">
      <c r="A274" s="57"/>
      <c r="B274" s="19" t="s">
        <v>15</v>
      </c>
      <c r="C274" s="20" t="s">
        <v>36</v>
      </c>
      <c r="D274" s="39" t="s">
        <v>32</v>
      </c>
      <c r="E274" s="20" t="s">
        <v>24</v>
      </c>
      <c r="F274" s="40"/>
      <c r="G274" s="20"/>
      <c r="H274" s="67">
        <f>H286+H275+H296</f>
        <v>5802.1</v>
      </c>
      <c r="I274" s="67" t="e">
        <f aca="true" t="shared" si="117" ref="I274:R274">I286+I275+I296</f>
        <v>#REF!</v>
      </c>
      <c r="J274" s="67" t="e">
        <f t="shared" si="117"/>
        <v>#REF!</v>
      </c>
      <c r="K274" s="67" t="e">
        <f t="shared" si="117"/>
        <v>#REF!</v>
      </c>
      <c r="L274" s="67" t="e">
        <f t="shared" si="117"/>
        <v>#REF!</v>
      </c>
      <c r="M274" s="67" t="e">
        <f t="shared" si="117"/>
        <v>#REF!</v>
      </c>
      <c r="N274" s="67" t="e">
        <f t="shared" si="117"/>
        <v>#REF!</v>
      </c>
      <c r="O274" s="67" t="e">
        <f t="shared" si="117"/>
        <v>#REF!</v>
      </c>
      <c r="P274" s="67" t="e">
        <f t="shared" si="117"/>
        <v>#REF!</v>
      </c>
      <c r="Q274" s="67" t="e">
        <f t="shared" si="117"/>
        <v>#REF!</v>
      </c>
      <c r="R274" s="67">
        <f t="shared" si="117"/>
        <v>5696.799999999999</v>
      </c>
      <c r="S274" s="16">
        <f t="shared" si="116"/>
        <v>-105.30000000000109</v>
      </c>
    </row>
    <row r="275" spans="1:19" s="91" customFormat="1" ht="15.75">
      <c r="A275" s="57"/>
      <c r="B275" s="11" t="s">
        <v>129</v>
      </c>
      <c r="C275" s="23" t="s">
        <v>36</v>
      </c>
      <c r="D275" s="32" t="s">
        <v>32</v>
      </c>
      <c r="E275" s="23" t="s">
        <v>24</v>
      </c>
      <c r="F275" s="42" t="s">
        <v>28</v>
      </c>
      <c r="G275" s="23"/>
      <c r="H275" s="25">
        <f>H283+H280+H276</f>
        <v>2697.6000000000004</v>
      </c>
      <c r="I275" s="25">
        <f aca="true" t="shared" si="118" ref="I275:R275">I283+I280+I276</f>
        <v>0</v>
      </c>
      <c r="J275" s="25">
        <f t="shared" si="118"/>
        <v>0</v>
      </c>
      <c r="K275" s="25">
        <f t="shared" si="118"/>
        <v>0</v>
      </c>
      <c r="L275" s="25">
        <f t="shared" si="118"/>
        <v>0</v>
      </c>
      <c r="M275" s="25">
        <f t="shared" si="118"/>
        <v>0</v>
      </c>
      <c r="N275" s="25">
        <f t="shared" si="118"/>
        <v>0</v>
      </c>
      <c r="O275" s="25">
        <f t="shared" si="118"/>
        <v>0</v>
      </c>
      <c r="P275" s="25">
        <f t="shared" si="118"/>
        <v>0</v>
      </c>
      <c r="Q275" s="25">
        <f t="shared" si="118"/>
        <v>0</v>
      </c>
      <c r="R275" s="25">
        <f t="shared" si="118"/>
        <v>2642.4</v>
      </c>
      <c r="S275" s="16">
        <f t="shared" si="116"/>
        <v>-55.20000000000027</v>
      </c>
    </row>
    <row r="276" spans="1:19" s="91" customFormat="1" ht="30">
      <c r="A276" s="57"/>
      <c r="B276" s="11" t="s">
        <v>168</v>
      </c>
      <c r="C276" s="23" t="s">
        <v>36</v>
      </c>
      <c r="D276" s="32" t="s">
        <v>32</v>
      </c>
      <c r="E276" s="23" t="s">
        <v>24</v>
      </c>
      <c r="F276" s="42" t="s">
        <v>169</v>
      </c>
      <c r="G276" s="23"/>
      <c r="H276" s="25">
        <f>H277</f>
        <v>1064.3000000000002</v>
      </c>
      <c r="I276" s="25">
        <f aca="true" t="shared" si="119" ref="I276:R276">I277</f>
        <v>0</v>
      </c>
      <c r="J276" s="25">
        <f t="shared" si="119"/>
        <v>0</v>
      </c>
      <c r="K276" s="25">
        <f t="shared" si="119"/>
        <v>0</v>
      </c>
      <c r="L276" s="25">
        <f t="shared" si="119"/>
        <v>0</v>
      </c>
      <c r="M276" s="25">
        <f t="shared" si="119"/>
        <v>0</v>
      </c>
      <c r="N276" s="25">
        <f t="shared" si="119"/>
        <v>0</v>
      </c>
      <c r="O276" s="25">
        <f t="shared" si="119"/>
        <v>0</v>
      </c>
      <c r="P276" s="25">
        <f t="shared" si="119"/>
        <v>0</v>
      </c>
      <c r="Q276" s="25">
        <f t="shared" si="119"/>
        <v>0</v>
      </c>
      <c r="R276" s="25">
        <f t="shared" si="119"/>
        <v>1044.1000000000001</v>
      </c>
      <c r="S276" s="16">
        <f t="shared" si="116"/>
        <v>-20.200000000000045</v>
      </c>
    </row>
    <row r="277" spans="1:19" s="91" customFormat="1" ht="30">
      <c r="A277" s="57"/>
      <c r="B277" s="11" t="s">
        <v>293</v>
      </c>
      <c r="C277" s="23" t="s">
        <v>36</v>
      </c>
      <c r="D277" s="32" t="s">
        <v>32</v>
      </c>
      <c r="E277" s="23" t="s">
        <v>24</v>
      </c>
      <c r="F277" s="42" t="s">
        <v>383</v>
      </c>
      <c r="G277" s="23"/>
      <c r="H277" s="25">
        <f>H278+H279</f>
        <v>1064.3000000000002</v>
      </c>
      <c r="I277" s="25">
        <f aca="true" t="shared" si="120" ref="I277:R277">I278+I279</f>
        <v>0</v>
      </c>
      <c r="J277" s="25">
        <f t="shared" si="120"/>
        <v>0</v>
      </c>
      <c r="K277" s="25">
        <f t="shared" si="120"/>
        <v>0</v>
      </c>
      <c r="L277" s="25">
        <f t="shared" si="120"/>
        <v>0</v>
      </c>
      <c r="M277" s="25">
        <f t="shared" si="120"/>
        <v>0</v>
      </c>
      <c r="N277" s="25">
        <f t="shared" si="120"/>
        <v>0</v>
      </c>
      <c r="O277" s="25">
        <f t="shared" si="120"/>
        <v>0</v>
      </c>
      <c r="P277" s="25">
        <f t="shared" si="120"/>
        <v>0</v>
      </c>
      <c r="Q277" s="25">
        <f t="shared" si="120"/>
        <v>0</v>
      </c>
      <c r="R277" s="25">
        <f t="shared" si="120"/>
        <v>1044.1000000000001</v>
      </c>
      <c r="S277" s="16">
        <f t="shared" si="116"/>
        <v>-20.200000000000045</v>
      </c>
    </row>
    <row r="278" spans="1:19" s="91" customFormat="1" ht="82.5" customHeight="1">
      <c r="A278" s="57"/>
      <c r="B278" s="11" t="s">
        <v>192</v>
      </c>
      <c r="C278" s="23" t="s">
        <v>36</v>
      </c>
      <c r="D278" s="32" t="s">
        <v>32</v>
      </c>
      <c r="E278" s="23" t="s">
        <v>24</v>
      </c>
      <c r="F278" s="42" t="s">
        <v>384</v>
      </c>
      <c r="G278" s="23" t="s">
        <v>59</v>
      </c>
      <c r="H278" s="25">
        <f>1157.7-78.1-27.7-50-39</f>
        <v>962.9000000000001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>
        <v>962.7</v>
      </c>
      <c r="S278" s="16">
        <f t="shared" si="116"/>
        <v>-0.20000000000004547</v>
      </c>
    </row>
    <row r="279" spans="1:19" s="91" customFormat="1" ht="60">
      <c r="A279" s="57"/>
      <c r="B279" s="11" t="s">
        <v>319</v>
      </c>
      <c r="C279" s="23" t="s">
        <v>36</v>
      </c>
      <c r="D279" s="32" t="s">
        <v>32</v>
      </c>
      <c r="E279" s="23" t="s">
        <v>24</v>
      </c>
      <c r="F279" s="42" t="s">
        <v>384</v>
      </c>
      <c r="G279" s="23" t="s">
        <v>58</v>
      </c>
      <c r="H279" s="25">
        <f>26.4+25+4+50-4</f>
        <v>101.4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>
        <v>81.4</v>
      </c>
      <c r="S279" s="16">
        <f t="shared" si="116"/>
        <v>-20</v>
      </c>
    </row>
    <row r="280" spans="1:19" s="91" customFormat="1" ht="15.75">
      <c r="A280" s="57"/>
      <c r="B280" s="11" t="s">
        <v>366</v>
      </c>
      <c r="C280" s="23" t="s">
        <v>36</v>
      </c>
      <c r="D280" s="32" t="s">
        <v>32</v>
      </c>
      <c r="E280" s="23" t="s">
        <v>24</v>
      </c>
      <c r="F280" s="42" t="s">
        <v>365</v>
      </c>
      <c r="G280" s="23"/>
      <c r="H280" s="25">
        <f>H281</f>
        <v>1583.3</v>
      </c>
      <c r="I280" s="25">
        <f aca="true" t="shared" si="121" ref="I280:R281">I281</f>
        <v>0</v>
      </c>
      <c r="J280" s="25">
        <f t="shared" si="121"/>
        <v>0</v>
      </c>
      <c r="K280" s="25">
        <f t="shared" si="121"/>
        <v>0</v>
      </c>
      <c r="L280" s="25">
        <f t="shared" si="121"/>
        <v>0</v>
      </c>
      <c r="M280" s="25">
        <f t="shared" si="121"/>
        <v>0</v>
      </c>
      <c r="N280" s="25">
        <f t="shared" si="121"/>
        <v>0</v>
      </c>
      <c r="O280" s="25">
        <f t="shared" si="121"/>
        <v>0</v>
      </c>
      <c r="P280" s="25">
        <f t="shared" si="121"/>
        <v>0</v>
      </c>
      <c r="Q280" s="25">
        <f t="shared" si="121"/>
        <v>0</v>
      </c>
      <c r="R280" s="25">
        <f t="shared" si="121"/>
        <v>1583.3</v>
      </c>
      <c r="S280" s="16">
        <f t="shared" si="116"/>
        <v>0</v>
      </c>
    </row>
    <row r="281" spans="1:19" s="91" customFormat="1" ht="30">
      <c r="A281" s="57"/>
      <c r="B281" s="11" t="s">
        <v>367</v>
      </c>
      <c r="C281" s="23" t="s">
        <v>36</v>
      </c>
      <c r="D281" s="32" t="s">
        <v>32</v>
      </c>
      <c r="E281" s="23" t="s">
        <v>24</v>
      </c>
      <c r="F281" s="42" t="s">
        <v>368</v>
      </c>
      <c r="G281" s="23"/>
      <c r="H281" s="25">
        <f>H282</f>
        <v>1583.3</v>
      </c>
      <c r="I281" s="25">
        <f t="shared" si="121"/>
        <v>0</v>
      </c>
      <c r="J281" s="25">
        <f t="shared" si="121"/>
        <v>0</v>
      </c>
      <c r="K281" s="25">
        <f t="shared" si="121"/>
        <v>0</v>
      </c>
      <c r="L281" s="25">
        <f t="shared" si="121"/>
        <v>0</v>
      </c>
      <c r="M281" s="25">
        <f t="shared" si="121"/>
        <v>0</v>
      </c>
      <c r="N281" s="25">
        <f t="shared" si="121"/>
        <v>0</v>
      </c>
      <c r="O281" s="25">
        <f t="shared" si="121"/>
        <v>0</v>
      </c>
      <c r="P281" s="25">
        <f t="shared" si="121"/>
        <v>0</v>
      </c>
      <c r="Q281" s="25">
        <f t="shared" si="121"/>
        <v>0</v>
      </c>
      <c r="R281" s="25">
        <f t="shared" si="121"/>
        <v>1583.3</v>
      </c>
      <c r="S281" s="16">
        <f t="shared" si="116"/>
        <v>0</v>
      </c>
    </row>
    <row r="282" spans="1:19" s="91" customFormat="1" ht="30">
      <c r="A282" s="57"/>
      <c r="B282" s="11" t="s">
        <v>370</v>
      </c>
      <c r="C282" s="23" t="s">
        <v>36</v>
      </c>
      <c r="D282" s="32" t="s">
        <v>32</v>
      </c>
      <c r="E282" s="23" t="s">
        <v>24</v>
      </c>
      <c r="F282" s="42" t="s">
        <v>369</v>
      </c>
      <c r="G282" s="23" t="s">
        <v>58</v>
      </c>
      <c r="H282" s="25">
        <f>1951.5-368.2</f>
        <v>1583.3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>
        <v>1583.3</v>
      </c>
      <c r="S282" s="16">
        <f t="shared" si="116"/>
        <v>0</v>
      </c>
    </row>
    <row r="283" spans="1:19" s="91" customFormat="1" ht="31.5" customHeight="1">
      <c r="A283" s="57"/>
      <c r="B283" s="11" t="s">
        <v>198</v>
      </c>
      <c r="C283" s="23" t="s">
        <v>36</v>
      </c>
      <c r="D283" s="32" t="s">
        <v>32</v>
      </c>
      <c r="E283" s="23" t="s">
        <v>24</v>
      </c>
      <c r="F283" s="42" t="s">
        <v>199</v>
      </c>
      <c r="G283" s="23"/>
      <c r="H283" s="25">
        <f>H284</f>
        <v>50</v>
      </c>
      <c r="I283" s="25">
        <f aca="true" t="shared" si="122" ref="I283:R284">I284</f>
        <v>0</v>
      </c>
      <c r="J283" s="25">
        <f t="shared" si="122"/>
        <v>0</v>
      </c>
      <c r="K283" s="25">
        <f t="shared" si="122"/>
        <v>0</v>
      </c>
      <c r="L283" s="25">
        <f t="shared" si="122"/>
        <v>0</v>
      </c>
      <c r="M283" s="25">
        <f t="shared" si="122"/>
        <v>0</v>
      </c>
      <c r="N283" s="25">
        <f t="shared" si="122"/>
        <v>0</v>
      </c>
      <c r="O283" s="25">
        <f t="shared" si="122"/>
        <v>0</v>
      </c>
      <c r="P283" s="25">
        <f t="shared" si="122"/>
        <v>0</v>
      </c>
      <c r="Q283" s="25">
        <f t="shared" si="122"/>
        <v>0</v>
      </c>
      <c r="R283" s="25">
        <f t="shared" si="122"/>
        <v>15</v>
      </c>
      <c r="S283" s="16">
        <f t="shared" si="116"/>
        <v>-35</v>
      </c>
    </row>
    <row r="284" spans="1:19" s="91" customFormat="1" ht="30">
      <c r="A284" s="57"/>
      <c r="B284" s="11" t="s">
        <v>200</v>
      </c>
      <c r="C284" s="23" t="s">
        <v>36</v>
      </c>
      <c r="D284" s="32" t="s">
        <v>32</v>
      </c>
      <c r="E284" s="23" t="s">
        <v>24</v>
      </c>
      <c r="F284" s="42" t="s">
        <v>201</v>
      </c>
      <c r="G284" s="23"/>
      <c r="H284" s="25">
        <f>H285</f>
        <v>50</v>
      </c>
      <c r="I284" s="25">
        <f t="shared" si="122"/>
        <v>0</v>
      </c>
      <c r="J284" s="25">
        <f t="shared" si="122"/>
        <v>0</v>
      </c>
      <c r="K284" s="25">
        <f t="shared" si="122"/>
        <v>0</v>
      </c>
      <c r="L284" s="25">
        <f t="shared" si="122"/>
        <v>0</v>
      </c>
      <c r="M284" s="25">
        <f t="shared" si="122"/>
        <v>0</v>
      </c>
      <c r="N284" s="25">
        <f t="shared" si="122"/>
        <v>0</v>
      </c>
      <c r="O284" s="25">
        <f t="shared" si="122"/>
        <v>0</v>
      </c>
      <c r="P284" s="25">
        <f t="shared" si="122"/>
        <v>0</v>
      </c>
      <c r="Q284" s="25">
        <f t="shared" si="122"/>
        <v>0</v>
      </c>
      <c r="R284" s="25">
        <f t="shared" si="122"/>
        <v>15</v>
      </c>
      <c r="S284" s="16">
        <f t="shared" si="116"/>
        <v>-35</v>
      </c>
    </row>
    <row r="285" spans="1:19" s="71" customFormat="1" ht="45">
      <c r="A285" s="56"/>
      <c r="B285" s="11" t="s">
        <v>320</v>
      </c>
      <c r="C285" s="23" t="s">
        <v>36</v>
      </c>
      <c r="D285" s="32" t="s">
        <v>32</v>
      </c>
      <c r="E285" s="23" t="s">
        <v>24</v>
      </c>
      <c r="F285" s="42" t="s">
        <v>202</v>
      </c>
      <c r="G285" s="23" t="s">
        <v>58</v>
      </c>
      <c r="H285" s="25">
        <v>50</v>
      </c>
      <c r="R285" s="72">
        <v>15</v>
      </c>
      <c r="S285" s="16">
        <f t="shared" si="116"/>
        <v>-35</v>
      </c>
    </row>
    <row r="286" spans="1:19" s="2" customFormat="1" ht="15">
      <c r="A286" s="57"/>
      <c r="B286" s="11" t="s">
        <v>129</v>
      </c>
      <c r="C286" s="23" t="s">
        <v>36</v>
      </c>
      <c r="D286" s="32" t="s">
        <v>32</v>
      </c>
      <c r="E286" s="23" t="s">
        <v>24</v>
      </c>
      <c r="F286" s="42" t="s">
        <v>28</v>
      </c>
      <c r="G286" s="23"/>
      <c r="H286" s="25">
        <f>H287</f>
        <v>3064.5</v>
      </c>
      <c r="I286" s="25" t="e">
        <f aca="true" t="shared" si="123" ref="I286:R287">I287</f>
        <v>#REF!</v>
      </c>
      <c r="J286" s="25" t="e">
        <f t="shared" si="123"/>
        <v>#REF!</v>
      </c>
      <c r="K286" s="25" t="e">
        <f t="shared" si="123"/>
        <v>#REF!</v>
      </c>
      <c r="L286" s="25" t="e">
        <f t="shared" si="123"/>
        <v>#REF!</v>
      </c>
      <c r="M286" s="25" t="e">
        <f t="shared" si="123"/>
        <v>#REF!</v>
      </c>
      <c r="N286" s="25" t="e">
        <f t="shared" si="123"/>
        <v>#REF!</v>
      </c>
      <c r="O286" s="25" t="e">
        <f t="shared" si="123"/>
        <v>#REF!</v>
      </c>
      <c r="P286" s="25" t="e">
        <f t="shared" si="123"/>
        <v>#REF!</v>
      </c>
      <c r="Q286" s="25" t="e">
        <f t="shared" si="123"/>
        <v>#REF!</v>
      </c>
      <c r="R286" s="25">
        <f t="shared" si="123"/>
        <v>3044.3999999999996</v>
      </c>
      <c r="S286" s="16">
        <f t="shared" si="116"/>
        <v>-20.100000000000364</v>
      </c>
    </row>
    <row r="287" spans="1:19" s="2" customFormat="1" ht="30">
      <c r="A287" s="57"/>
      <c r="B287" s="11" t="s">
        <v>285</v>
      </c>
      <c r="C287" s="23" t="s">
        <v>36</v>
      </c>
      <c r="D287" s="32" t="s">
        <v>32</v>
      </c>
      <c r="E287" s="23" t="s">
        <v>24</v>
      </c>
      <c r="F287" s="42" t="s">
        <v>187</v>
      </c>
      <c r="G287" s="23"/>
      <c r="H287" s="25">
        <f>H288</f>
        <v>3064.5</v>
      </c>
      <c r="I287" s="25" t="e">
        <f t="shared" si="123"/>
        <v>#REF!</v>
      </c>
      <c r="J287" s="25" t="e">
        <f t="shared" si="123"/>
        <v>#REF!</v>
      </c>
      <c r="K287" s="25" t="e">
        <f t="shared" si="123"/>
        <v>#REF!</v>
      </c>
      <c r="L287" s="25" t="e">
        <f t="shared" si="123"/>
        <v>#REF!</v>
      </c>
      <c r="M287" s="25" t="e">
        <f t="shared" si="123"/>
        <v>#REF!</v>
      </c>
      <c r="N287" s="25" t="e">
        <f t="shared" si="123"/>
        <v>#REF!</v>
      </c>
      <c r="O287" s="25" t="e">
        <f t="shared" si="123"/>
        <v>#REF!</v>
      </c>
      <c r="P287" s="25" t="e">
        <f t="shared" si="123"/>
        <v>#REF!</v>
      </c>
      <c r="Q287" s="25" t="e">
        <f t="shared" si="123"/>
        <v>#REF!</v>
      </c>
      <c r="R287" s="25">
        <f t="shared" si="123"/>
        <v>3044.3999999999996</v>
      </c>
      <c r="S287" s="16">
        <f t="shared" si="116"/>
        <v>-20.100000000000364</v>
      </c>
    </row>
    <row r="288" spans="1:19" s="2" customFormat="1" ht="35.25" customHeight="1">
      <c r="A288" s="57"/>
      <c r="B288" s="11" t="s">
        <v>306</v>
      </c>
      <c r="C288" s="23" t="s">
        <v>36</v>
      </c>
      <c r="D288" s="32" t="s">
        <v>32</v>
      </c>
      <c r="E288" s="23" t="s">
        <v>24</v>
      </c>
      <c r="F288" s="42" t="s">
        <v>188</v>
      </c>
      <c r="G288" s="23"/>
      <c r="H288" s="25">
        <f>H289+H290+H291+H292+H293+H294+H295</f>
        <v>3064.5</v>
      </c>
      <c r="I288" s="25" t="e">
        <f aca="true" t="shared" si="124" ref="I288:R288">I289+I290+I291+I292+I293+I294+I295</f>
        <v>#REF!</v>
      </c>
      <c r="J288" s="25" t="e">
        <f t="shared" si="124"/>
        <v>#REF!</v>
      </c>
      <c r="K288" s="25" t="e">
        <f t="shared" si="124"/>
        <v>#REF!</v>
      </c>
      <c r="L288" s="25" t="e">
        <f t="shared" si="124"/>
        <v>#REF!</v>
      </c>
      <c r="M288" s="25" t="e">
        <f t="shared" si="124"/>
        <v>#REF!</v>
      </c>
      <c r="N288" s="25" t="e">
        <f t="shared" si="124"/>
        <v>#REF!</v>
      </c>
      <c r="O288" s="25" t="e">
        <f t="shared" si="124"/>
        <v>#REF!</v>
      </c>
      <c r="P288" s="25" t="e">
        <f t="shared" si="124"/>
        <v>#REF!</v>
      </c>
      <c r="Q288" s="25" t="e">
        <f t="shared" si="124"/>
        <v>#REF!</v>
      </c>
      <c r="R288" s="25">
        <f t="shared" si="124"/>
        <v>3044.3999999999996</v>
      </c>
      <c r="S288" s="16">
        <f t="shared" si="116"/>
        <v>-20.100000000000364</v>
      </c>
    </row>
    <row r="289" spans="1:19" s="1" customFormat="1" ht="139.5" customHeight="1">
      <c r="A289" s="56"/>
      <c r="B289" s="11" t="s">
        <v>189</v>
      </c>
      <c r="C289" s="23" t="s">
        <v>36</v>
      </c>
      <c r="D289" s="23" t="s">
        <v>32</v>
      </c>
      <c r="E289" s="23" t="s">
        <v>24</v>
      </c>
      <c r="F289" s="24" t="s">
        <v>190</v>
      </c>
      <c r="G289" s="32" t="s">
        <v>59</v>
      </c>
      <c r="H289" s="25">
        <v>240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3">
        <v>232.4</v>
      </c>
      <c r="S289" s="16">
        <f t="shared" si="116"/>
        <v>-7.599999999999994</v>
      </c>
    </row>
    <row r="290" spans="1:19" s="1" customFormat="1" ht="106.5" customHeight="1">
      <c r="A290" s="56"/>
      <c r="B290" s="11" t="s">
        <v>321</v>
      </c>
      <c r="C290" s="23" t="s">
        <v>36</v>
      </c>
      <c r="D290" s="23" t="s">
        <v>32</v>
      </c>
      <c r="E290" s="23" t="s">
        <v>24</v>
      </c>
      <c r="F290" s="24" t="s">
        <v>190</v>
      </c>
      <c r="G290" s="32" t="s">
        <v>58</v>
      </c>
      <c r="H290" s="25">
        <v>33.9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3">
        <v>22.8</v>
      </c>
      <c r="S290" s="16">
        <f t="shared" si="116"/>
        <v>-11.099999999999998</v>
      </c>
    </row>
    <row r="291" spans="1:19" s="1" customFormat="1" ht="90" customHeight="1">
      <c r="A291" s="56"/>
      <c r="B291" s="11" t="s">
        <v>191</v>
      </c>
      <c r="C291" s="23" t="s">
        <v>36</v>
      </c>
      <c r="D291" s="23" t="s">
        <v>32</v>
      </c>
      <c r="E291" s="23" t="s">
        <v>24</v>
      </c>
      <c r="F291" s="24" t="s">
        <v>194</v>
      </c>
      <c r="G291" s="23" t="s">
        <v>59</v>
      </c>
      <c r="H291" s="25">
        <f>1162.4+60+18.1+27.7</f>
        <v>1268.2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3">
        <v>1267.6</v>
      </c>
      <c r="S291" s="16">
        <f t="shared" si="116"/>
        <v>-0.6000000000001364</v>
      </c>
    </row>
    <row r="292" spans="1:19" s="1" customFormat="1" ht="60">
      <c r="A292" s="56"/>
      <c r="B292" s="11" t="s">
        <v>322</v>
      </c>
      <c r="C292" s="23" t="s">
        <v>36</v>
      </c>
      <c r="D292" s="23" t="s">
        <v>32</v>
      </c>
      <c r="E292" s="23" t="s">
        <v>24</v>
      </c>
      <c r="F292" s="24" t="s">
        <v>194</v>
      </c>
      <c r="G292" s="23" t="s">
        <v>58</v>
      </c>
      <c r="H292" s="25">
        <f>269.4-6.1-37.6</f>
        <v>225.69999999999996</v>
      </c>
      <c r="I292" s="26" t="e">
        <f>#REF!+#REF!</f>
        <v>#REF!</v>
      </c>
      <c r="J292" s="27" t="e">
        <f>#REF!+#REF!</f>
        <v>#REF!</v>
      </c>
      <c r="K292" s="27" t="e">
        <f>#REF!+#REF!</f>
        <v>#REF!</v>
      </c>
      <c r="L292" s="27" t="e">
        <f>#REF!+#REF!</f>
        <v>#REF!</v>
      </c>
      <c r="M292" s="27" t="e">
        <f>#REF!+#REF!</f>
        <v>#REF!</v>
      </c>
      <c r="N292" s="27" t="e">
        <f>#REF!+#REF!</f>
        <v>#REF!</v>
      </c>
      <c r="O292" s="27" t="e">
        <f>#REF!+#REF!</f>
        <v>#REF!</v>
      </c>
      <c r="P292" s="27" t="e">
        <f>#REF!+#REF!</f>
        <v>#REF!</v>
      </c>
      <c r="Q292" s="27" t="e">
        <f>#REF!+#REF!</f>
        <v>#REF!</v>
      </c>
      <c r="R292" s="13">
        <v>225</v>
      </c>
      <c r="S292" s="16">
        <f t="shared" si="116"/>
        <v>-0.6999999999999602</v>
      </c>
    </row>
    <row r="293" spans="1:19" s="1" customFormat="1" ht="44.25" customHeight="1">
      <c r="A293" s="56"/>
      <c r="B293" s="11" t="s">
        <v>193</v>
      </c>
      <c r="C293" s="23" t="s">
        <v>36</v>
      </c>
      <c r="D293" s="23" t="s">
        <v>32</v>
      </c>
      <c r="E293" s="23" t="s">
        <v>24</v>
      </c>
      <c r="F293" s="24" t="s">
        <v>194</v>
      </c>
      <c r="G293" s="23" t="s">
        <v>54</v>
      </c>
      <c r="H293" s="25">
        <f>8.9+6.1</f>
        <v>15</v>
      </c>
      <c r="I293" s="62"/>
      <c r="J293" s="62"/>
      <c r="K293" s="62"/>
      <c r="L293" s="62"/>
      <c r="M293" s="62"/>
      <c r="N293" s="62"/>
      <c r="O293" s="62"/>
      <c r="P293" s="62"/>
      <c r="Q293" s="62"/>
      <c r="R293" s="13">
        <v>15</v>
      </c>
      <c r="S293" s="16">
        <f t="shared" si="116"/>
        <v>0</v>
      </c>
    </row>
    <row r="294" spans="1:19" s="1" customFormat="1" ht="95.25" customHeight="1">
      <c r="A294" s="56"/>
      <c r="B294" s="11" t="s">
        <v>89</v>
      </c>
      <c r="C294" s="23" t="s">
        <v>36</v>
      </c>
      <c r="D294" s="23" t="s">
        <v>32</v>
      </c>
      <c r="E294" s="23" t="s">
        <v>24</v>
      </c>
      <c r="F294" s="24" t="s">
        <v>195</v>
      </c>
      <c r="G294" s="23" t="s">
        <v>59</v>
      </c>
      <c r="H294" s="25">
        <f>1221.8+3-0.8-9</f>
        <v>1215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3">
        <v>1214.9</v>
      </c>
      <c r="S294" s="16">
        <f t="shared" si="116"/>
        <v>-0.09999999999990905</v>
      </c>
    </row>
    <row r="295" spans="1:19" s="1" customFormat="1" ht="60.75" customHeight="1">
      <c r="A295" s="56"/>
      <c r="B295" s="11" t="s">
        <v>94</v>
      </c>
      <c r="C295" s="23" t="s">
        <v>36</v>
      </c>
      <c r="D295" s="23" t="s">
        <v>32</v>
      </c>
      <c r="E295" s="23" t="s">
        <v>24</v>
      </c>
      <c r="F295" s="24" t="s">
        <v>195</v>
      </c>
      <c r="G295" s="23" t="s">
        <v>58</v>
      </c>
      <c r="H295" s="25">
        <f>52.9+20-4-3+0.8</f>
        <v>66.7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3">
        <v>66.7</v>
      </c>
      <c r="S295" s="16">
        <f t="shared" si="116"/>
        <v>0</v>
      </c>
    </row>
    <row r="296" spans="1:19" s="1" customFormat="1" ht="33.75" customHeight="1">
      <c r="A296" s="56"/>
      <c r="B296" s="11" t="s">
        <v>333</v>
      </c>
      <c r="C296" s="23" t="s">
        <v>36</v>
      </c>
      <c r="D296" s="23" t="s">
        <v>32</v>
      </c>
      <c r="E296" s="23" t="s">
        <v>24</v>
      </c>
      <c r="F296" s="24" t="s">
        <v>31</v>
      </c>
      <c r="G296" s="23"/>
      <c r="H296" s="25">
        <f>H297</f>
        <v>40</v>
      </c>
      <c r="I296" s="25">
        <f aca="true" t="shared" si="125" ref="I296:R297">I297</f>
        <v>0</v>
      </c>
      <c r="J296" s="25">
        <f t="shared" si="125"/>
        <v>0</v>
      </c>
      <c r="K296" s="25">
        <f t="shared" si="125"/>
        <v>0</v>
      </c>
      <c r="L296" s="25">
        <f t="shared" si="125"/>
        <v>0</v>
      </c>
      <c r="M296" s="25">
        <f t="shared" si="125"/>
        <v>0</v>
      </c>
      <c r="N296" s="25">
        <f t="shared" si="125"/>
        <v>0</v>
      </c>
      <c r="O296" s="25">
        <f t="shared" si="125"/>
        <v>0</v>
      </c>
      <c r="P296" s="25">
        <f t="shared" si="125"/>
        <v>0</v>
      </c>
      <c r="Q296" s="25">
        <f t="shared" si="125"/>
        <v>0</v>
      </c>
      <c r="R296" s="25">
        <f t="shared" si="125"/>
        <v>10</v>
      </c>
      <c r="S296" s="16">
        <f t="shared" si="116"/>
        <v>-30</v>
      </c>
    </row>
    <row r="297" spans="1:19" s="1" customFormat="1" ht="60.75" customHeight="1">
      <c r="A297" s="56"/>
      <c r="B297" s="11" t="s">
        <v>197</v>
      </c>
      <c r="C297" s="23" t="s">
        <v>36</v>
      </c>
      <c r="D297" s="23" t="s">
        <v>32</v>
      </c>
      <c r="E297" s="23" t="s">
        <v>24</v>
      </c>
      <c r="F297" s="24" t="s">
        <v>208</v>
      </c>
      <c r="G297" s="23"/>
      <c r="H297" s="25">
        <f>H298</f>
        <v>40</v>
      </c>
      <c r="I297" s="25">
        <f t="shared" si="125"/>
        <v>0</v>
      </c>
      <c r="J297" s="25">
        <f t="shared" si="125"/>
        <v>0</v>
      </c>
      <c r="K297" s="25">
        <f t="shared" si="125"/>
        <v>0</v>
      </c>
      <c r="L297" s="25">
        <f t="shared" si="125"/>
        <v>0</v>
      </c>
      <c r="M297" s="25">
        <f t="shared" si="125"/>
        <v>0</v>
      </c>
      <c r="N297" s="25">
        <f t="shared" si="125"/>
        <v>0</v>
      </c>
      <c r="O297" s="25">
        <f t="shared" si="125"/>
        <v>0</v>
      </c>
      <c r="P297" s="25">
        <f t="shared" si="125"/>
        <v>0</v>
      </c>
      <c r="Q297" s="25">
        <f t="shared" si="125"/>
        <v>0</v>
      </c>
      <c r="R297" s="25">
        <f t="shared" si="125"/>
        <v>10</v>
      </c>
      <c r="S297" s="16">
        <f t="shared" si="116"/>
        <v>-30</v>
      </c>
    </row>
    <row r="298" spans="1:19" s="1" customFormat="1" ht="57.75" customHeight="1">
      <c r="A298" s="56"/>
      <c r="B298" s="11" t="s">
        <v>329</v>
      </c>
      <c r="C298" s="23" t="s">
        <v>36</v>
      </c>
      <c r="D298" s="23" t="s">
        <v>32</v>
      </c>
      <c r="E298" s="23" t="s">
        <v>24</v>
      </c>
      <c r="F298" s="24" t="s">
        <v>102</v>
      </c>
      <c r="G298" s="23" t="s">
        <v>58</v>
      </c>
      <c r="H298" s="25">
        <v>40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3">
        <v>10</v>
      </c>
      <c r="S298" s="16">
        <f t="shared" si="116"/>
        <v>-30</v>
      </c>
    </row>
    <row r="299" spans="1:19" s="1" customFormat="1" ht="15">
      <c r="A299" s="56"/>
      <c r="B299" s="15" t="s">
        <v>5</v>
      </c>
      <c r="C299" s="17" t="s">
        <v>36</v>
      </c>
      <c r="D299" s="17" t="s">
        <v>27</v>
      </c>
      <c r="E299" s="17"/>
      <c r="F299" s="18"/>
      <c r="G299" s="17"/>
      <c r="H299" s="16">
        <f>H300+H306</f>
        <v>7425.5</v>
      </c>
      <c r="I299" s="16" t="e">
        <f aca="true" t="shared" si="126" ref="I299:R299">I300+I306</f>
        <v>#REF!</v>
      </c>
      <c r="J299" s="16" t="e">
        <f t="shared" si="126"/>
        <v>#REF!</v>
      </c>
      <c r="K299" s="16" t="e">
        <f t="shared" si="126"/>
        <v>#REF!</v>
      </c>
      <c r="L299" s="16" t="e">
        <f t="shared" si="126"/>
        <v>#REF!</v>
      </c>
      <c r="M299" s="16" t="e">
        <f t="shared" si="126"/>
        <v>#REF!</v>
      </c>
      <c r="N299" s="16" t="e">
        <f t="shared" si="126"/>
        <v>#REF!</v>
      </c>
      <c r="O299" s="16" t="e">
        <f t="shared" si="126"/>
        <v>#REF!</v>
      </c>
      <c r="P299" s="16" t="e">
        <f t="shared" si="126"/>
        <v>#REF!</v>
      </c>
      <c r="Q299" s="16" t="e">
        <f t="shared" si="126"/>
        <v>#REF!</v>
      </c>
      <c r="R299" s="16">
        <f t="shared" si="126"/>
        <v>7425.5</v>
      </c>
      <c r="S299" s="16">
        <f t="shared" si="116"/>
        <v>0</v>
      </c>
    </row>
    <row r="300" spans="1:19" s="2" customFormat="1" ht="15">
      <c r="A300" s="57"/>
      <c r="B300" s="19" t="s">
        <v>10</v>
      </c>
      <c r="C300" s="20" t="s">
        <v>36</v>
      </c>
      <c r="D300" s="20" t="s">
        <v>27</v>
      </c>
      <c r="E300" s="20" t="s">
        <v>26</v>
      </c>
      <c r="F300" s="21"/>
      <c r="G300" s="20"/>
      <c r="H300" s="22">
        <f>H301</f>
        <v>6900.5</v>
      </c>
      <c r="I300" s="22" t="e">
        <f aca="true" t="shared" si="127" ref="I300:R302">I301</f>
        <v>#REF!</v>
      </c>
      <c r="J300" s="22" t="e">
        <f t="shared" si="127"/>
        <v>#REF!</v>
      </c>
      <c r="K300" s="22" t="e">
        <f t="shared" si="127"/>
        <v>#REF!</v>
      </c>
      <c r="L300" s="22" t="e">
        <f t="shared" si="127"/>
        <v>#REF!</v>
      </c>
      <c r="M300" s="22" t="e">
        <f t="shared" si="127"/>
        <v>#REF!</v>
      </c>
      <c r="N300" s="22" t="e">
        <f t="shared" si="127"/>
        <v>#REF!</v>
      </c>
      <c r="O300" s="22" t="e">
        <f t="shared" si="127"/>
        <v>#REF!</v>
      </c>
      <c r="P300" s="22" t="e">
        <f t="shared" si="127"/>
        <v>#REF!</v>
      </c>
      <c r="Q300" s="22" t="e">
        <f t="shared" si="127"/>
        <v>#REF!</v>
      </c>
      <c r="R300" s="22">
        <f t="shared" si="127"/>
        <v>6900.5</v>
      </c>
      <c r="S300" s="16">
        <f t="shared" si="116"/>
        <v>0</v>
      </c>
    </row>
    <row r="301" spans="1:19" s="2" customFormat="1" ht="15">
      <c r="A301" s="57"/>
      <c r="B301" s="11" t="s">
        <v>129</v>
      </c>
      <c r="C301" s="23" t="s">
        <v>36</v>
      </c>
      <c r="D301" s="23" t="s">
        <v>27</v>
      </c>
      <c r="E301" s="23" t="s">
        <v>26</v>
      </c>
      <c r="F301" s="24" t="s">
        <v>28</v>
      </c>
      <c r="G301" s="23"/>
      <c r="H301" s="25">
        <f>H302</f>
        <v>6900.5</v>
      </c>
      <c r="I301" s="25" t="e">
        <f t="shared" si="127"/>
        <v>#REF!</v>
      </c>
      <c r="J301" s="25" t="e">
        <f t="shared" si="127"/>
        <v>#REF!</v>
      </c>
      <c r="K301" s="25" t="e">
        <f t="shared" si="127"/>
        <v>#REF!</v>
      </c>
      <c r="L301" s="25" t="e">
        <f t="shared" si="127"/>
        <v>#REF!</v>
      </c>
      <c r="M301" s="25" t="e">
        <f t="shared" si="127"/>
        <v>#REF!</v>
      </c>
      <c r="N301" s="25" t="e">
        <f t="shared" si="127"/>
        <v>#REF!</v>
      </c>
      <c r="O301" s="25" t="e">
        <f t="shared" si="127"/>
        <v>#REF!</v>
      </c>
      <c r="P301" s="25" t="e">
        <f t="shared" si="127"/>
        <v>#REF!</v>
      </c>
      <c r="Q301" s="25" t="e">
        <f t="shared" si="127"/>
        <v>#REF!</v>
      </c>
      <c r="R301" s="25">
        <f t="shared" si="127"/>
        <v>6900.5</v>
      </c>
      <c r="S301" s="16">
        <f t="shared" si="116"/>
        <v>0</v>
      </c>
    </row>
    <row r="302" spans="1:19" s="2" customFormat="1" ht="30">
      <c r="A302" s="57"/>
      <c r="B302" s="11" t="s">
        <v>168</v>
      </c>
      <c r="C302" s="23" t="s">
        <v>36</v>
      </c>
      <c r="D302" s="23" t="s">
        <v>27</v>
      </c>
      <c r="E302" s="23" t="s">
        <v>26</v>
      </c>
      <c r="F302" s="24" t="s">
        <v>169</v>
      </c>
      <c r="G302" s="23"/>
      <c r="H302" s="25">
        <f>H303</f>
        <v>6900.5</v>
      </c>
      <c r="I302" s="25" t="e">
        <f t="shared" si="127"/>
        <v>#REF!</v>
      </c>
      <c r="J302" s="25" t="e">
        <f t="shared" si="127"/>
        <v>#REF!</v>
      </c>
      <c r="K302" s="25" t="e">
        <f t="shared" si="127"/>
        <v>#REF!</v>
      </c>
      <c r="L302" s="25" t="e">
        <f t="shared" si="127"/>
        <v>#REF!</v>
      </c>
      <c r="M302" s="25" t="e">
        <f t="shared" si="127"/>
        <v>#REF!</v>
      </c>
      <c r="N302" s="25" t="e">
        <f t="shared" si="127"/>
        <v>#REF!</v>
      </c>
      <c r="O302" s="25" t="e">
        <f t="shared" si="127"/>
        <v>#REF!</v>
      </c>
      <c r="P302" s="25" t="e">
        <f t="shared" si="127"/>
        <v>#REF!</v>
      </c>
      <c r="Q302" s="25" t="e">
        <f t="shared" si="127"/>
        <v>#REF!</v>
      </c>
      <c r="R302" s="25">
        <f t="shared" si="127"/>
        <v>6900.5</v>
      </c>
      <c r="S302" s="16">
        <f t="shared" si="116"/>
        <v>0</v>
      </c>
    </row>
    <row r="303" spans="1:19" s="2" customFormat="1" ht="30">
      <c r="A303" s="57"/>
      <c r="B303" s="11" t="s">
        <v>203</v>
      </c>
      <c r="C303" s="23" t="s">
        <v>36</v>
      </c>
      <c r="D303" s="23" t="s">
        <v>27</v>
      </c>
      <c r="E303" s="23" t="s">
        <v>26</v>
      </c>
      <c r="F303" s="24" t="s">
        <v>286</v>
      </c>
      <c r="G303" s="23"/>
      <c r="H303" s="25">
        <f>H304+H305</f>
        <v>6900.5</v>
      </c>
      <c r="I303" s="25" t="e">
        <f aca="true" t="shared" si="128" ref="I303:R303">I304+I305</f>
        <v>#REF!</v>
      </c>
      <c r="J303" s="25" t="e">
        <f t="shared" si="128"/>
        <v>#REF!</v>
      </c>
      <c r="K303" s="25" t="e">
        <f t="shared" si="128"/>
        <v>#REF!</v>
      </c>
      <c r="L303" s="25" t="e">
        <f t="shared" si="128"/>
        <v>#REF!</v>
      </c>
      <c r="M303" s="25" t="e">
        <f t="shared" si="128"/>
        <v>#REF!</v>
      </c>
      <c r="N303" s="25" t="e">
        <f t="shared" si="128"/>
        <v>#REF!</v>
      </c>
      <c r="O303" s="25" t="e">
        <f t="shared" si="128"/>
        <v>#REF!</v>
      </c>
      <c r="P303" s="25" t="e">
        <f t="shared" si="128"/>
        <v>#REF!</v>
      </c>
      <c r="Q303" s="25" t="e">
        <f t="shared" si="128"/>
        <v>#REF!</v>
      </c>
      <c r="R303" s="25">
        <f t="shared" si="128"/>
        <v>6900.5</v>
      </c>
      <c r="S303" s="16">
        <f t="shared" si="116"/>
        <v>0</v>
      </c>
    </row>
    <row r="304" spans="1:19" s="1" customFormat="1" ht="78.75" customHeight="1">
      <c r="A304" s="56"/>
      <c r="B304" s="41" t="s">
        <v>290</v>
      </c>
      <c r="C304" s="10">
        <v>354</v>
      </c>
      <c r="D304" s="10">
        <v>10</v>
      </c>
      <c r="E304" s="23" t="s">
        <v>26</v>
      </c>
      <c r="F304" s="41" t="s">
        <v>204</v>
      </c>
      <c r="G304" s="10">
        <v>300</v>
      </c>
      <c r="H304" s="25">
        <f>900-480.5</f>
        <v>419.5</v>
      </c>
      <c r="I304" s="26" t="e">
        <f>I305+#REF!</f>
        <v>#REF!</v>
      </c>
      <c r="J304" s="27" t="e">
        <f>J305+#REF!</f>
        <v>#REF!</v>
      </c>
      <c r="K304" s="27" t="e">
        <f>K305+#REF!</f>
        <v>#REF!</v>
      </c>
      <c r="L304" s="27" t="e">
        <f>L305+#REF!</f>
        <v>#REF!</v>
      </c>
      <c r="M304" s="27" t="e">
        <f>M305+#REF!</f>
        <v>#REF!</v>
      </c>
      <c r="N304" s="27" t="e">
        <f>N305+#REF!</f>
        <v>#REF!</v>
      </c>
      <c r="O304" s="27" t="e">
        <f>O305+#REF!</f>
        <v>#REF!</v>
      </c>
      <c r="P304" s="27" t="e">
        <f>P305+#REF!</f>
        <v>#REF!</v>
      </c>
      <c r="Q304" s="27" t="e">
        <f>Q305+#REF!</f>
        <v>#REF!</v>
      </c>
      <c r="R304" s="13">
        <v>419.5</v>
      </c>
      <c r="S304" s="16">
        <f t="shared" si="116"/>
        <v>0</v>
      </c>
    </row>
    <row r="305" spans="1:19" s="1" customFormat="1" ht="48.75" customHeight="1">
      <c r="A305" s="56"/>
      <c r="B305" s="11" t="s">
        <v>206</v>
      </c>
      <c r="C305" s="23" t="s">
        <v>36</v>
      </c>
      <c r="D305" s="32" t="s">
        <v>27</v>
      </c>
      <c r="E305" s="23" t="s">
        <v>26</v>
      </c>
      <c r="F305" s="42" t="s">
        <v>205</v>
      </c>
      <c r="G305" s="23" t="s">
        <v>60</v>
      </c>
      <c r="H305" s="25">
        <f>6531-50</f>
        <v>6481</v>
      </c>
      <c r="I305" s="26" t="e">
        <f>#REF!</f>
        <v>#REF!</v>
      </c>
      <c r="J305" s="27" t="e">
        <f>#REF!</f>
        <v>#REF!</v>
      </c>
      <c r="K305" s="27" t="e">
        <f>#REF!</f>
        <v>#REF!</v>
      </c>
      <c r="L305" s="27" t="e">
        <f>#REF!</f>
        <v>#REF!</v>
      </c>
      <c r="M305" s="27" t="e">
        <f>#REF!</f>
        <v>#REF!</v>
      </c>
      <c r="N305" s="27" t="e">
        <f>#REF!</f>
        <v>#REF!</v>
      </c>
      <c r="O305" s="27" t="e">
        <f>#REF!</f>
        <v>#REF!</v>
      </c>
      <c r="P305" s="27" t="e">
        <f>#REF!</f>
        <v>#REF!</v>
      </c>
      <c r="Q305" s="27" t="e">
        <f>#REF!</f>
        <v>#REF!</v>
      </c>
      <c r="R305" s="13">
        <v>6481</v>
      </c>
      <c r="S305" s="16">
        <f t="shared" si="116"/>
        <v>0</v>
      </c>
    </row>
    <row r="306" spans="1:19" s="2" customFormat="1" ht="15">
      <c r="A306" s="57"/>
      <c r="B306" s="38" t="s">
        <v>42</v>
      </c>
      <c r="C306" s="39" t="s">
        <v>36</v>
      </c>
      <c r="D306" s="39" t="s">
        <v>27</v>
      </c>
      <c r="E306" s="39" t="s">
        <v>30</v>
      </c>
      <c r="F306" s="70"/>
      <c r="G306" s="30"/>
      <c r="H306" s="22">
        <f>H307</f>
        <v>525</v>
      </c>
      <c r="I306" s="22">
        <f aca="true" t="shared" si="129" ref="I306:R308">I307</f>
        <v>0</v>
      </c>
      <c r="J306" s="22">
        <f t="shared" si="129"/>
        <v>0</v>
      </c>
      <c r="K306" s="22">
        <f t="shared" si="129"/>
        <v>0</v>
      </c>
      <c r="L306" s="22">
        <f t="shared" si="129"/>
        <v>0</v>
      </c>
      <c r="M306" s="22">
        <f t="shared" si="129"/>
        <v>0</v>
      </c>
      <c r="N306" s="22">
        <f t="shared" si="129"/>
        <v>0</v>
      </c>
      <c r="O306" s="22">
        <f t="shared" si="129"/>
        <v>0</v>
      </c>
      <c r="P306" s="22">
        <f t="shared" si="129"/>
        <v>0</v>
      </c>
      <c r="Q306" s="22">
        <f t="shared" si="129"/>
        <v>0</v>
      </c>
      <c r="R306" s="22">
        <f t="shared" si="129"/>
        <v>525</v>
      </c>
      <c r="S306" s="16">
        <f t="shared" si="116"/>
        <v>0</v>
      </c>
    </row>
    <row r="307" spans="1:19" s="2" customFormat="1" ht="15">
      <c r="A307" s="57"/>
      <c r="B307" s="11" t="s">
        <v>129</v>
      </c>
      <c r="C307" s="23" t="s">
        <v>36</v>
      </c>
      <c r="D307" s="23" t="s">
        <v>27</v>
      </c>
      <c r="E307" s="23" t="s">
        <v>30</v>
      </c>
      <c r="F307" s="24" t="s">
        <v>28</v>
      </c>
      <c r="G307" s="23"/>
      <c r="H307" s="25">
        <f>H308</f>
        <v>525</v>
      </c>
      <c r="I307" s="25">
        <f t="shared" si="129"/>
        <v>0</v>
      </c>
      <c r="J307" s="25">
        <f t="shared" si="129"/>
        <v>0</v>
      </c>
      <c r="K307" s="25">
        <f t="shared" si="129"/>
        <v>0</v>
      </c>
      <c r="L307" s="25">
        <f t="shared" si="129"/>
        <v>0</v>
      </c>
      <c r="M307" s="25">
        <f t="shared" si="129"/>
        <v>0</v>
      </c>
      <c r="N307" s="25">
        <f t="shared" si="129"/>
        <v>0</v>
      </c>
      <c r="O307" s="25">
        <f t="shared" si="129"/>
        <v>0</v>
      </c>
      <c r="P307" s="25">
        <f t="shared" si="129"/>
        <v>0</v>
      </c>
      <c r="Q307" s="25">
        <f t="shared" si="129"/>
        <v>0</v>
      </c>
      <c r="R307" s="25">
        <f t="shared" si="129"/>
        <v>525</v>
      </c>
      <c r="S307" s="16">
        <f t="shared" si="116"/>
        <v>0</v>
      </c>
    </row>
    <row r="308" spans="1:19" s="2" customFormat="1" ht="30">
      <c r="A308" s="57"/>
      <c r="B308" s="11" t="s">
        <v>168</v>
      </c>
      <c r="C308" s="23" t="s">
        <v>36</v>
      </c>
      <c r="D308" s="23" t="s">
        <v>27</v>
      </c>
      <c r="E308" s="23" t="s">
        <v>30</v>
      </c>
      <c r="F308" s="24" t="s">
        <v>169</v>
      </c>
      <c r="G308" s="23"/>
      <c r="H308" s="25">
        <f>H309</f>
        <v>525</v>
      </c>
      <c r="I308" s="25">
        <f t="shared" si="129"/>
        <v>0</v>
      </c>
      <c r="J308" s="25">
        <f t="shared" si="129"/>
        <v>0</v>
      </c>
      <c r="K308" s="25">
        <f t="shared" si="129"/>
        <v>0</v>
      </c>
      <c r="L308" s="25">
        <f t="shared" si="129"/>
        <v>0</v>
      </c>
      <c r="M308" s="25">
        <f t="shared" si="129"/>
        <v>0</v>
      </c>
      <c r="N308" s="25">
        <f t="shared" si="129"/>
        <v>0</v>
      </c>
      <c r="O308" s="25">
        <f t="shared" si="129"/>
        <v>0</v>
      </c>
      <c r="P308" s="25">
        <f t="shared" si="129"/>
        <v>0</v>
      </c>
      <c r="Q308" s="25">
        <f t="shared" si="129"/>
        <v>0</v>
      </c>
      <c r="R308" s="25">
        <f t="shared" si="129"/>
        <v>525</v>
      </c>
      <c r="S308" s="16">
        <f t="shared" si="116"/>
        <v>0</v>
      </c>
    </row>
    <row r="309" spans="1:19" s="2" customFormat="1" ht="30">
      <c r="A309" s="57"/>
      <c r="B309" s="11" t="s">
        <v>203</v>
      </c>
      <c r="C309" s="23" t="s">
        <v>36</v>
      </c>
      <c r="D309" s="23" t="s">
        <v>27</v>
      </c>
      <c r="E309" s="23" t="s">
        <v>30</v>
      </c>
      <c r="F309" s="24" t="s">
        <v>286</v>
      </c>
      <c r="G309" s="23"/>
      <c r="H309" s="25">
        <f>H310+H311</f>
        <v>525</v>
      </c>
      <c r="I309" s="25">
        <f aca="true" t="shared" si="130" ref="I309:R309">I310+I311</f>
        <v>0</v>
      </c>
      <c r="J309" s="25">
        <f t="shared" si="130"/>
        <v>0</v>
      </c>
      <c r="K309" s="25">
        <f t="shared" si="130"/>
        <v>0</v>
      </c>
      <c r="L309" s="25">
        <f t="shared" si="130"/>
        <v>0</v>
      </c>
      <c r="M309" s="25">
        <f t="shared" si="130"/>
        <v>0</v>
      </c>
      <c r="N309" s="25">
        <f t="shared" si="130"/>
        <v>0</v>
      </c>
      <c r="O309" s="25">
        <f t="shared" si="130"/>
        <v>0</v>
      </c>
      <c r="P309" s="25">
        <f t="shared" si="130"/>
        <v>0</v>
      </c>
      <c r="Q309" s="25">
        <f t="shared" si="130"/>
        <v>0</v>
      </c>
      <c r="R309" s="25">
        <f t="shared" si="130"/>
        <v>525</v>
      </c>
      <c r="S309" s="16">
        <f t="shared" si="116"/>
        <v>0</v>
      </c>
    </row>
    <row r="310" spans="1:19" s="1" customFormat="1" ht="66.75" customHeight="1">
      <c r="A310" s="56"/>
      <c r="B310" s="11" t="s">
        <v>323</v>
      </c>
      <c r="C310" s="23" t="s">
        <v>36</v>
      </c>
      <c r="D310" s="32" t="s">
        <v>27</v>
      </c>
      <c r="E310" s="23" t="s">
        <v>30</v>
      </c>
      <c r="F310" s="42" t="s">
        <v>275</v>
      </c>
      <c r="G310" s="23" t="s">
        <v>58</v>
      </c>
      <c r="H310" s="25">
        <v>262.5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3">
        <v>262.5</v>
      </c>
      <c r="S310" s="16">
        <f t="shared" si="116"/>
        <v>0</v>
      </c>
    </row>
    <row r="311" spans="1:19" s="1" customFormat="1" ht="62.25" customHeight="1">
      <c r="A311" s="56"/>
      <c r="B311" s="11" t="s">
        <v>324</v>
      </c>
      <c r="C311" s="23" t="s">
        <v>36</v>
      </c>
      <c r="D311" s="32" t="s">
        <v>27</v>
      </c>
      <c r="E311" s="23" t="s">
        <v>30</v>
      </c>
      <c r="F311" s="42" t="s">
        <v>276</v>
      </c>
      <c r="G311" s="23" t="s">
        <v>58</v>
      </c>
      <c r="H311" s="25">
        <v>262.5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3">
        <v>262.5</v>
      </c>
      <c r="S311" s="16">
        <f t="shared" si="116"/>
        <v>0</v>
      </c>
    </row>
    <row r="312" spans="1:19" s="1" customFormat="1" ht="28.5">
      <c r="A312" s="56"/>
      <c r="B312" s="15" t="s">
        <v>49</v>
      </c>
      <c r="C312" s="17" t="s">
        <v>44</v>
      </c>
      <c r="D312" s="17"/>
      <c r="E312" s="17"/>
      <c r="F312" s="18"/>
      <c r="G312" s="17"/>
      <c r="H312" s="16">
        <f>H313</f>
        <v>3472.2</v>
      </c>
      <c r="I312" s="16" t="e">
        <f aca="true" t="shared" si="131" ref="I312:R312">I313</f>
        <v>#REF!</v>
      </c>
      <c r="J312" s="16" t="e">
        <f t="shared" si="131"/>
        <v>#REF!</v>
      </c>
      <c r="K312" s="16" t="e">
        <f t="shared" si="131"/>
        <v>#REF!</v>
      </c>
      <c r="L312" s="16" t="e">
        <f t="shared" si="131"/>
        <v>#REF!</v>
      </c>
      <c r="M312" s="16" t="e">
        <f t="shared" si="131"/>
        <v>#REF!</v>
      </c>
      <c r="N312" s="16" t="e">
        <f t="shared" si="131"/>
        <v>#REF!</v>
      </c>
      <c r="O312" s="16" t="e">
        <f t="shared" si="131"/>
        <v>#REF!</v>
      </c>
      <c r="P312" s="16" t="e">
        <f t="shared" si="131"/>
        <v>#REF!</v>
      </c>
      <c r="Q312" s="16" t="e">
        <f t="shared" si="131"/>
        <v>#REF!</v>
      </c>
      <c r="R312" s="16">
        <f t="shared" si="131"/>
        <v>3439.4000000000005</v>
      </c>
      <c r="S312" s="16">
        <f t="shared" si="116"/>
        <v>-32.79999999999927</v>
      </c>
    </row>
    <row r="313" spans="1:19" s="1" customFormat="1" ht="15">
      <c r="A313" s="56"/>
      <c r="B313" s="15" t="s">
        <v>63</v>
      </c>
      <c r="C313" s="17" t="s">
        <v>44</v>
      </c>
      <c r="D313" s="17" t="s">
        <v>25</v>
      </c>
      <c r="E313" s="17"/>
      <c r="F313" s="18"/>
      <c r="G313" s="17"/>
      <c r="H313" s="16">
        <f>H314+H326</f>
        <v>3472.2</v>
      </c>
      <c r="I313" s="16" t="e">
        <f aca="true" t="shared" si="132" ref="I313:R313">I314+I326</f>
        <v>#REF!</v>
      </c>
      <c r="J313" s="16" t="e">
        <f t="shared" si="132"/>
        <v>#REF!</v>
      </c>
      <c r="K313" s="16" t="e">
        <f t="shared" si="132"/>
        <v>#REF!</v>
      </c>
      <c r="L313" s="16" t="e">
        <f t="shared" si="132"/>
        <v>#REF!</v>
      </c>
      <c r="M313" s="16" t="e">
        <f t="shared" si="132"/>
        <v>#REF!</v>
      </c>
      <c r="N313" s="16" t="e">
        <f t="shared" si="132"/>
        <v>#REF!</v>
      </c>
      <c r="O313" s="16" t="e">
        <f t="shared" si="132"/>
        <v>#REF!</v>
      </c>
      <c r="P313" s="16" t="e">
        <f t="shared" si="132"/>
        <v>#REF!</v>
      </c>
      <c r="Q313" s="16" t="e">
        <f t="shared" si="132"/>
        <v>#REF!</v>
      </c>
      <c r="R313" s="16">
        <f t="shared" si="132"/>
        <v>3439.4000000000005</v>
      </c>
      <c r="S313" s="16">
        <f t="shared" si="116"/>
        <v>-32.79999999999927</v>
      </c>
    </row>
    <row r="314" spans="1:19" s="2" customFormat="1" ht="46.5" customHeight="1">
      <c r="A314" s="57"/>
      <c r="B314" s="19" t="s">
        <v>64</v>
      </c>
      <c r="C314" s="20" t="s">
        <v>44</v>
      </c>
      <c r="D314" s="20" t="s">
        <v>25</v>
      </c>
      <c r="E314" s="20" t="s">
        <v>28</v>
      </c>
      <c r="F314" s="21"/>
      <c r="G314" s="20"/>
      <c r="H314" s="22">
        <f>H315+H318+H321</f>
        <v>2076.4</v>
      </c>
      <c r="I314" s="22" t="e">
        <f aca="true" t="shared" si="133" ref="I314:R314">I315+I318+I321</f>
        <v>#REF!</v>
      </c>
      <c r="J314" s="22" t="e">
        <f t="shared" si="133"/>
        <v>#REF!</v>
      </c>
      <c r="K314" s="22" t="e">
        <f t="shared" si="133"/>
        <v>#REF!</v>
      </c>
      <c r="L314" s="22" t="e">
        <f t="shared" si="133"/>
        <v>#REF!</v>
      </c>
      <c r="M314" s="22" t="e">
        <f t="shared" si="133"/>
        <v>#REF!</v>
      </c>
      <c r="N314" s="22" t="e">
        <f t="shared" si="133"/>
        <v>#REF!</v>
      </c>
      <c r="O314" s="22" t="e">
        <f t="shared" si="133"/>
        <v>#REF!</v>
      </c>
      <c r="P314" s="22" t="e">
        <f t="shared" si="133"/>
        <v>#REF!</v>
      </c>
      <c r="Q314" s="22" t="e">
        <f t="shared" si="133"/>
        <v>#REF!</v>
      </c>
      <c r="R314" s="22">
        <f t="shared" si="133"/>
        <v>2046.0000000000002</v>
      </c>
      <c r="S314" s="16">
        <f t="shared" si="116"/>
        <v>-30.399999999999864</v>
      </c>
    </row>
    <row r="315" spans="1:19" s="2" customFormat="1" ht="35.25" customHeight="1">
      <c r="A315" s="57"/>
      <c r="B315" s="11" t="s">
        <v>213</v>
      </c>
      <c r="C315" s="23" t="s">
        <v>44</v>
      </c>
      <c r="D315" s="23" t="s">
        <v>25</v>
      </c>
      <c r="E315" s="23" t="s">
        <v>28</v>
      </c>
      <c r="F315" s="24" t="s">
        <v>214</v>
      </c>
      <c r="G315" s="23"/>
      <c r="H315" s="25">
        <f>H316</f>
        <v>601.6</v>
      </c>
      <c r="I315" s="25" t="e">
        <f aca="true" t="shared" si="134" ref="I315:R316">I316</f>
        <v>#REF!</v>
      </c>
      <c r="J315" s="25" t="e">
        <f t="shared" si="134"/>
        <v>#REF!</v>
      </c>
      <c r="K315" s="25" t="e">
        <f t="shared" si="134"/>
        <v>#REF!</v>
      </c>
      <c r="L315" s="25" t="e">
        <f t="shared" si="134"/>
        <v>#REF!</v>
      </c>
      <c r="M315" s="25" t="e">
        <f t="shared" si="134"/>
        <v>#REF!</v>
      </c>
      <c r="N315" s="25" t="e">
        <f t="shared" si="134"/>
        <v>#REF!</v>
      </c>
      <c r="O315" s="25" t="e">
        <f t="shared" si="134"/>
        <v>#REF!</v>
      </c>
      <c r="P315" s="25" t="e">
        <f t="shared" si="134"/>
        <v>#REF!</v>
      </c>
      <c r="Q315" s="25" t="e">
        <f t="shared" si="134"/>
        <v>#REF!</v>
      </c>
      <c r="R315" s="25">
        <f t="shared" si="134"/>
        <v>597.6</v>
      </c>
      <c r="S315" s="16">
        <f t="shared" si="116"/>
        <v>-4</v>
      </c>
    </row>
    <row r="316" spans="1:19" s="2" customFormat="1" ht="19.5" customHeight="1">
      <c r="A316" s="57"/>
      <c r="B316" s="11" t="s">
        <v>78</v>
      </c>
      <c r="C316" s="23" t="s">
        <v>44</v>
      </c>
      <c r="D316" s="23" t="s">
        <v>25</v>
      </c>
      <c r="E316" s="23" t="s">
        <v>28</v>
      </c>
      <c r="F316" s="24" t="s">
        <v>215</v>
      </c>
      <c r="G316" s="23"/>
      <c r="H316" s="25">
        <f>H317</f>
        <v>601.6</v>
      </c>
      <c r="I316" s="25" t="e">
        <f t="shared" si="134"/>
        <v>#REF!</v>
      </c>
      <c r="J316" s="25" t="e">
        <f t="shared" si="134"/>
        <v>#REF!</v>
      </c>
      <c r="K316" s="25" t="e">
        <f t="shared" si="134"/>
        <v>#REF!</v>
      </c>
      <c r="L316" s="25" t="e">
        <f t="shared" si="134"/>
        <v>#REF!</v>
      </c>
      <c r="M316" s="25" t="e">
        <f t="shared" si="134"/>
        <v>#REF!</v>
      </c>
      <c r="N316" s="25" t="e">
        <f t="shared" si="134"/>
        <v>#REF!</v>
      </c>
      <c r="O316" s="25" t="e">
        <f t="shared" si="134"/>
        <v>#REF!</v>
      </c>
      <c r="P316" s="25" t="e">
        <f t="shared" si="134"/>
        <v>#REF!</v>
      </c>
      <c r="Q316" s="25" t="e">
        <f t="shared" si="134"/>
        <v>#REF!</v>
      </c>
      <c r="R316" s="25">
        <f t="shared" si="134"/>
        <v>597.6</v>
      </c>
      <c r="S316" s="16">
        <f t="shared" si="116"/>
        <v>-4</v>
      </c>
    </row>
    <row r="317" spans="1:19" s="1" customFormat="1" ht="93.75" customHeight="1">
      <c r="A317" s="56"/>
      <c r="B317" s="11" t="s">
        <v>93</v>
      </c>
      <c r="C317" s="23" t="s">
        <v>44</v>
      </c>
      <c r="D317" s="23" t="s">
        <v>12</v>
      </c>
      <c r="E317" s="23" t="s">
        <v>28</v>
      </c>
      <c r="F317" s="24" t="s">
        <v>221</v>
      </c>
      <c r="G317" s="23" t="s">
        <v>59</v>
      </c>
      <c r="H317" s="25">
        <f>626.5-24.9</f>
        <v>601.6</v>
      </c>
      <c r="I317" s="43" t="e">
        <f>I325+#REF!</f>
        <v>#REF!</v>
      </c>
      <c r="J317" s="44" t="e">
        <f>J325+#REF!</f>
        <v>#REF!</v>
      </c>
      <c r="K317" s="44" t="e">
        <f>K325+#REF!</f>
        <v>#REF!</v>
      </c>
      <c r="L317" s="44" t="e">
        <f>L325+#REF!</f>
        <v>#REF!</v>
      </c>
      <c r="M317" s="44" t="e">
        <f>M325+#REF!</f>
        <v>#REF!</v>
      </c>
      <c r="N317" s="44" t="e">
        <f>N325+#REF!</f>
        <v>#REF!</v>
      </c>
      <c r="O317" s="44" t="e">
        <f>O325+#REF!</f>
        <v>#REF!</v>
      </c>
      <c r="P317" s="44" t="e">
        <f>P325+#REF!</f>
        <v>#REF!</v>
      </c>
      <c r="Q317" s="44" t="e">
        <f>Q325+#REF!</f>
        <v>#REF!</v>
      </c>
      <c r="R317" s="13">
        <v>597.6</v>
      </c>
      <c r="S317" s="16">
        <f t="shared" si="116"/>
        <v>-4</v>
      </c>
    </row>
    <row r="318" spans="1:19" s="1" customFormat="1" ht="39" customHeight="1">
      <c r="A318" s="56"/>
      <c r="B318" s="11" t="s">
        <v>217</v>
      </c>
      <c r="C318" s="23" t="s">
        <v>44</v>
      </c>
      <c r="D318" s="23" t="s">
        <v>25</v>
      </c>
      <c r="E318" s="23" t="s">
        <v>28</v>
      </c>
      <c r="F318" s="24" t="s">
        <v>218</v>
      </c>
      <c r="G318" s="23"/>
      <c r="H318" s="25">
        <f>H319</f>
        <v>565.7</v>
      </c>
      <c r="I318" s="25">
        <f aca="true" t="shared" si="135" ref="I318:R319">I319</f>
        <v>0</v>
      </c>
      <c r="J318" s="25">
        <f t="shared" si="135"/>
        <v>0</v>
      </c>
      <c r="K318" s="25">
        <f t="shared" si="135"/>
        <v>0</v>
      </c>
      <c r="L318" s="25">
        <f t="shared" si="135"/>
        <v>0</v>
      </c>
      <c r="M318" s="25">
        <f t="shared" si="135"/>
        <v>0</v>
      </c>
      <c r="N318" s="25">
        <f t="shared" si="135"/>
        <v>0</v>
      </c>
      <c r="O318" s="25">
        <f t="shared" si="135"/>
        <v>0</v>
      </c>
      <c r="P318" s="25">
        <f t="shared" si="135"/>
        <v>0</v>
      </c>
      <c r="Q318" s="25">
        <f t="shared" si="135"/>
        <v>0</v>
      </c>
      <c r="R318" s="25">
        <f t="shared" si="135"/>
        <v>565.7</v>
      </c>
      <c r="S318" s="16">
        <f t="shared" si="116"/>
        <v>0</v>
      </c>
    </row>
    <row r="319" spans="1:19" s="1" customFormat="1" ht="17.25" customHeight="1">
      <c r="A319" s="56"/>
      <c r="B319" s="11" t="s">
        <v>78</v>
      </c>
      <c r="C319" s="23" t="s">
        <v>44</v>
      </c>
      <c r="D319" s="23" t="s">
        <v>25</v>
      </c>
      <c r="E319" s="23" t="s">
        <v>28</v>
      </c>
      <c r="F319" s="24" t="s">
        <v>219</v>
      </c>
      <c r="G319" s="23"/>
      <c r="H319" s="25">
        <f>H320</f>
        <v>565.7</v>
      </c>
      <c r="I319" s="25">
        <f t="shared" si="135"/>
        <v>0</v>
      </c>
      <c r="J319" s="25">
        <f t="shared" si="135"/>
        <v>0</v>
      </c>
      <c r="K319" s="25">
        <f t="shared" si="135"/>
        <v>0</v>
      </c>
      <c r="L319" s="25">
        <f t="shared" si="135"/>
        <v>0</v>
      </c>
      <c r="M319" s="25">
        <f t="shared" si="135"/>
        <v>0</v>
      </c>
      <c r="N319" s="25">
        <f t="shared" si="135"/>
        <v>0</v>
      </c>
      <c r="O319" s="25">
        <f t="shared" si="135"/>
        <v>0</v>
      </c>
      <c r="P319" s="25">
        <f t="shared" si="135"/>
        <v>0</v>
      </c>
      <c r="Q319" s="25">
        <f t="shared" si="135"/>
        <v>0</v>
      </c>
      <c r="R319" s="25">
        <f t="shared" si="135"/>
        <v>565.7</v>
      </c>
      <c r="S319" s="16">
        <f t="shared" si="116"/>
        <v>0</v>
      </c>
    </row>
    <row r="320" spans="1:19" s="1" customFormat="1" ht="90" customHeight="1">
      <c r="A320" s="56"/>
      <c r="B320" s="11" t="s">
        <v>93</v>
      </c>
      <c r="C320" s="23" t="s">
        <v>44</v>
      </c>
      <c r="D320" s="23" t="s">
        <v>12</v>
      </c>
      <c r="E320" s="23" t="s">
        <v>28</v>
      </c>
      <c r="F320" s="24" t="s">
        <v>220</v>
      </c>
      <c r="G320" s="23" t="s">
        <v>59</v>
      </c>
      <c r="H320" s="25">
        <f>556.2+9.5</f>
        <v>565.7</v>
      </c>
      <c r="I320" s="43"/>
      <c r="J320" s="44"/>
      <c r="K320" s="44"/>
      <c r="L320" s="44"/>
      <c r="M320" s="44"/>
      <c r="N320" s="44"/>
      <c r="O320" s="44"/>
      <c r="P320" s="44"/>
      <c r="Q320" s="44"/>
      <c r="R320" s="13">
        <v>565.7</v>
      </c>
      <c r="S320" s="16">
        <f t="shared" si="116"/>
        <v>0</v>
      </c>
    </row>
    <row r="321" spans="1:19" s="1" customFormat="1" ht="33.75" customHeight="1">
      <c r="A321" s="56"/>
      <c r="B321" s="11" t="s">
        <v>216</v>
      </c>
      <c r="C321" s="23" t="s">
        <v>44</v>
      </c>
      <c r="D321" s="23" t="s">
        <v>25</v>
      </c>
      <c r="E321" s="23" t="s">
        <v>28</v>
      </c>
      <c r="F321" s="24" t="s">
        <v>222</v>
      </c>
      <c r="G321" s="23"/>
      <c r="H321" s="25">
        <f>H322</f>
        <v>909.0999999999999</v>
      </c>
      <c r="I321" s="25" t="e">
        <f aca="true" t="shared" si="136" ref="I321:R321">I322</f>
        <v>#REF!</v>
      </c>
      <c r="J321" s="25" t="e">
        <f t="shared" si="136"/>
        <v>#REF!</v>
      </c>
      <c r="K321" s="25" t="e">
        <f t="shared" si="136"/>
        <v>#REF!</v>
      </c>
      <c r="L321" s="25" t="e">
        <f t="shared" si="136"/>
        <v>#REF!</v>
      </c>
      <c r="M321" s="25" t="e">
        <f t="shared" si="136"/>
        <v>#REF!</v>
      </c>
      <c r="N321" s="25" t="e">
        <f t="shared" si="136"/>
        <v>#REF!</v>
      </c>
      <c r="O321" s="25" t="e">
        <f t="shared" si="136"/>
        <v>#REF!</v>
      </c>
      <c r="P321" s="25" t="e">
        <f t="shared" si="136"/>
        <v>#REF!</v>
      </c>
      <c r="Q321" s="25" t="e">
        <f t="shared" si="136"/>
        <v>#REF!</v>
      </c>
      <c r="R321" s="25">
        <f t="shared" si="136"/>
        <v>882.7</v>
      </c>
      <c r="S321" s="16">
        <f t="shared" si="116"/>
        <v>-26.399999999999864</v>
      </c>
    </row>
    <row r="322" spans="1:19" s="1" customFormat="1" ht="22.5" customHeight="1">
      <c r="A322" s="56"/>
      <c r="B322" s="11" t="s">
        <v>78</v>
      </c>
      <c r="C322" s="23" t="s">
        <v>44</v>
      </c>
      <c r="D322" s="23" t="s">
        <v>25</v>
      </c>
      <c r="E322" s="23" t="s">
        <v>28</v>
      </c>
      <c r="F322" s="24" t="s">
        <v>223</v>
      </c>
      <c r="G322" s="23"/>
      <c r="H322" s="25">
        <f>H323+H324+H325</f>
        <v>909.0999999999999</v>
      </c>
      <c r="I322" s="25" t="e">
        <f aca="true" t="shared" si="137" ref="I322:R322">I323+I324+I325</f>
        <v>#REF!</v>
      </c>
      <c r="J322" s="25" t="e">
        <f t="shared" si="137"/>
        <v>#REF!</v>
      </c>
      <c r="K322" s="25" t="e">
        <f t="shared" si="137"/>
        <v>#REF!</v>
      </c>
      <c r="L322" s="25" t="e">
        <f t="shared" si="137"/>
        <v>#REF!</v>
      </c>
      <c r="M322" s="25" t="e">
        <f t="shared" si="137"/>
        <v>#REF!</v>
      </c>
      <c r="N322" s="25" t="e">
        <f t="shared" si="137"/>
        <v>#REF!</v>
      </c>
      <c r="O322" s="25" t="e">
        <f t="shared" si="137"/>
        <v>#REF!</v>
      </c>
      <c r="P322" s="25" t="e">
        <f t="shared" si="137"/>
        <v>#REF!</v>
      </c>
      <c r="Q322" s="25" t="e">
        <f t="shared" si="137"/>
        <v>#REF!</v>
      </c>
      <c r="R322" s="25">
        <f t="shared" si="137"/>
        <v>882.7</v>
      </c>
      <c r="S322" s="16">
        <f t="shared" si="116"/>
        <v>-26.399999999999864</v>
      </c>
    </row>
    <row r="323" spans="1:19" s="1" customFormat="1" ht="90.75" customHeight="1">
      <c r="A323" s="56"/>
      <c r="B323" s="11" t="s">
        <v>93</v>
      </c>
      <c r="C323" s="23" t="s">
        <v>44</v>
      </c>
      <c r="D323" s="23" t="s">
        <v>25</v>
      </c>
      <c r="E323" s="23" t="s">
        <v>28</v>
      </c>
      <c r="F323" s="24" t="s">
        <v>224</v>
      </c>
      <c r="G323" s="23" t="s">
        <v>59</v>
      </c>
      <c r="H323" s="25">
        <f>417.2+15.4</f>
        <v>432.59999999999997</v>
      </c>
      <c r="I323" s="43"/>
      <c r="J323" s="44"/>
      <c r="K323" s="44"/>
      <c r="L323" s="44"/>
      <c r="M323" s="44"/>
      <c r="N323" s="44"/>
      <c r="O323" s="44"/>
      <c r="P323" s="44"/>
      <c r="Q323" s="44"/>
      <c r="R323" s="13">
        <v>432.4</v>
      </c>
      <c r="S323" s="16">
        <f t="shared" si="116"/>
        <v>-0.19999999999998863</v>
      </c>
    </row>
    <row r="324" spans="1:19" s="1" customFormat="1" ht="66" customHeight="1">
      <c r="A324" s="56"/>
      <c r="B324" s="11" t="s">
        <v>325</v>
      </c>
      <c r="C324" s="23" t="s">
        <v>44</v>
      </c>
      <c r="D324" s="23" t="s">
        <v>12</v>
      </c>
      <c r="E324" s="23" t="s">
        <v>28</v>
      </c>
      <c r="F324" s="24" t="s">
        <v>224</v>
      </c>
      <c r="G324" s="23" t="s">
        <v>58</v>
      </c>
      <c r="H324" s="25">
        <f>345.1+120+11.4</f>
        <v>476.5</v>
      </c>
      <c r="I324" s="43"/>
      <c r="J324" s="44"/>
      <c r="K324" s="44"/>
      <c r="L324" s="44"/>
      <c r="M324" s="44"/>
      <c r="N324" s="44"/>
      <c r="O324" s="44"/>
      <c r="P324" s="44"/>
      <c r="Q324" s="44"/>
      <c r="R324" s="13">
        <v>450.3</v>
      </c>
      <c r="S324" s="16">
        <f t="shared" si="116"/>
        <v>-26.19999999999999</v>
      </c>
    </row>
    <row r="325" spans="1:19" s="1" customFormat="1" ht="45" customHeight="1">
      <c r="A325" s="56"/>
      <c r="B325" s="41" t="s">
        <v>272</v>
      </c>
      <c r="C325" s="23" t="s">
        <v>44</v>
      </c>
      <c r="D325" s="23" t="s">
        <v>25</v>
      </c>
      <c r="E325" s="23" t="s">
        <v>28</v>
      </c>
      <c r="F325" s="24" t="s">
        <v>224</v>
      </c>
      <c r="G325" s="23" t="s">
        <v>54</v>
      </c>
      <c r="H325" s="25">
        <f>11.4-11.4</f>
        <v>0</v>
      </c>
      <c r="I325" s="26" t="e">
        <f>#REF!</f>
        <v>#REF!</v>
      </c>
      <c r="J325" s="27" t="e">
        <f>#REF!</f>
        <v>#REF!</v>
      </c>
      <c r="K325" s="27" t="e">
        <f>#REF!</f>
        <v>#REF!</v>
      </c>
      <c r="L325" s="27" t="e">
        <f>#REF!</f>
        <v>#REF!</v>
      </c>
      <c r="M325" s="27" t="e">
        <f>#REF!</f>
        <v>#REF!</v>
      </c>
      <c r="N325" s="27" t="e">
        <f>#REF!</f>
        <v>#REF!</v>
      </c>
      <c r="O325" s="27" t="e">
        <f>#REF!</f>
        <v>#REF!</v>
      </c>
      <c r="P325" s="27" t="e">
        <f>#REF!</f>
        <v>#REF!</v>
      </c>
      <c r="Q325" s="27" t="e">
        <f>#REF!</f>
        <v>#REF!</v>
      </c>
      <c r="R325" s="13"/>
      <c r="S325" s="16">
        <f t="shared" si="116"/>
        <v>0</v>
      </c>
    </row>
    <row r="326" spans="1:19" s="2" customFormat="1" ht="34.5" customHeight="1">
      <c r="A326" s="57"/>
      <c r="B326" s="19" t="s">
        <v>0</v>
      </c>
      <c r="C326" s="20" t="s">
        <v>44</v>
      </c>
      <c r="D326" s="20" t="s">
        <v>25</v>
      </c>
      <c r="E326" s="20" t="s">
        <v>30</v>
      </c>
      <c r="F326" s="21"/>
      <c r="G326" s="20"/>
      <c r="H326" s="22">
        <f>H327+H330</f>
        <v>1395.8</v>
      </c>
      <c r="I326" s="22" t="e">
        <f aca="true" t="shared" si="138" ref="I326:R326">I327+I330</f>
        <v>#REF!</v>
      </c>
      <c r="J326" s="22" t="e">
        <f t="shared" si="138"/>
        <v>#REF!</v>
      </c>
      <c r="K326" s="22" t="e">
        <f t="shared" si="138"/>
        <v>#REF!</v>
      </c>
      <c r="L326" s="22" t="e">
        <f t="shared" si="138"/>
        <v>#REF!</v>
      </c>
      <c r="M326" s="22" t="e">
        <f t="shared" si="138"/>
        <v>#REF!</v>
      </c>
      <c r="N326" s="22" t="e">
        <f t="shared" si="138"/>
        <v>#REF!</v>
      </c>
      <c r="O326" s="22" t="e">
        <f t="shared" si="138"/>
        <v>#REF!</v>
      </c>
      <c r="P326" s="22" t="e">
        <f t="shared" si="138"/>
        <v>#REF!</v>
      </c>
      <c r="Q326" s="22" t="e">
        <f t="shared" si="138"/>
        <v>#REF!</v>
      </c>
      <c r="R326" s="22">
        <f t="shared" si="138"/>
        <v>1393.4</v>
      </c>
      <c r="S326" s="16">
        <f t="shared" si="116"/>
        <v>-2.3999999999998636</v>
      </c>
    </row>
    <row r="327" spans="1:19" s="2" customFormat="1" ht="34.5" customHeight="1">
      <c r="A327" s="57"/>
      <c r="B327" s="11" t="s">
        <v>225</v>
      </c>
      <c r="C327" s="23" t="s">
        <v>44</v>
      </c>
      <c r="D327" s="23" t="s">
        <v>25</v>
      </c>
      <c r="E327" s="23" t="s">
        <v>30</v>
      </c>
      <c r="F327" s="24" t="s">
        <v>226</v>
      </c>
      <c r="G327" s="23"/>
      <c r="H327" s="25">
        <f>H328</f>
        <v>519.4</v>
      </c>
      <c r="I327" s="25">
        <f aca="true" t="shared" si="139" ref="I327:R328">I328</f>
        <v>0</v>
      </c>
      <c r="J327" s="25">
        <f t="shared" si="139"/>
        <v>0</v>
      </c>
      <c r="K327" s="25">
        <f t="shared" si="139"/>
        <v>0</v>
      </c>
      <c r="L327" s="25">
        <f t="shared" si="139"/>
        <v>0</v>
      </c>
      <c r="M327" s="25">
        <f t="shared" si="139"/>
        <v>0</v>
      </c>
      <c r="N327" s="25">
        <f t="shared" si="139"/>
        <v>0</v>
      </c>
      <c r="O327" s="25">
        <f t="shared" si="139"/>
        <v>0</v>
      </c>
      <c r="P327" s="25">
        <f t="shared" si="139"/>
        <v>0</v>
      </c>
      <c r="Q327" s="25">
        <f t="shared" si="139"/>
        <v>0</v>
      </c>
      <c r="R327" s="25">
        <f t="shared" si="139"/>
        <v>517.9</v>
      </c>
      <c r="S327" s="16">
        <f t="shared" si="116"/>
        <v>-1.5</v>
      </c>
    </row>
    <row r="328" spans="1:19" s="2" customFormat="1" ht="24.75" customHeight="1">
      <c r="A328" s="57"/>
      <c r="B328" s="11" t="s">
        <v>78</v>
      </c>
      <c r="C328" s="23" t="s">
        <v>44</v>
      </c>
      <c r="D328" s="23" t="s">
        <v>25</v>
      </c>
      <c r="E328" s="23" t="s">
        <v>30</v>
      </c>
      <c r="F328" s="24" t="s">
        <v>227</v>
      </c>
      <c r="G328" s="23"/>
      <c r="H328" s="25">
        <f>H329</f>
        <v>519.4</v>
      </c>
      <c r="I328" s="25">
        <f t="shared" si="139"/>
        <v>0</v>
      </c>
      <c r="J328" s="25">
        <f t="shared" si="139"/>
        <v>0</v>
      </c>
      <c r="K328" s="25">
        <f t="shared" si="139"/>
        <v>0</v>
      </c>
      <c r="L328" s="25">
        <f t="shared" si="139"/>
        <v>0</v>
      </c>
      <c r="M328" s="25">
        <f t="shared" si="139"/>
        <v>0</v>
      </c>
      <c r="N328" s="25">
        <f t="shared" si="139"/>
        <v>0</v>
      </c>
      <c r="O328" s="25">
        <f t="shared" si="139"/>
        <v>0</v>
      </c>
      <c r="P328" s="25">
        <f t="shared" si="139"/>
        <v>0</v>
      </c>
      <c r="Q328" s="25">
        <f t="shared" si="139"/>
        <v>0</v>
      </c>
      <c r="R328" s="25">
        <f t="shared" si="139"/>
        <v>517.9</v>
      </c>
      <c r="S328" s="16">
        <f t="shared" si="116"/>
        <v>-1.5</v>
      </c>
    </row>
    <row r="329" spans="1:19" s="1" customFormat="1" ht="90">
      <c r="A329" s="56"/>
      <c r="B329" s="11" t="s">
        <v>93</v>
      </c>
      <c r="C329" s="23" t="s">
        <v>44</v>
      </c>
      <c r="D329" s="23" t="s">
        <v>25</v>
      </c>
      <c r="E329" s="23" t="s">
        <v>30</v>
      </c>
      <c r="F329" s="24" t="s">
        <v>228</v>
      </c>
      <c r="G329" s="23" t="s">
        <v>59</v>
      </c>
      <c r="H329" s="25">
        <f>492.2+27.2</f>
        <v>519.4</v>
      </c>
      <c r="I329" s="26"/>
      <c r="J329" s="27"/>
      <c r="K329" s="27"/>
      <c r="L329" s="27"/>
      <c r="M329" s="27"/>
      <c r="N329" s="27"/>
      <c r="O329" s="27"/>
      <c r="P329" s="27"/>
      <c r="Q329" s="27"/>
      <c r="R329" s="13">
        <v>517.9</v>
      </c>
      <c r="S329" s="16">
        <f t="shared" si="116"/>
        <v>-1.5</v>
      </c>
    </row>
    <row r="330" spans="1:19" s="1" customFormat="1" ht="30">
      <c r="A330" s="56"/>
      <c r="B330" s="11" t="s">
        <v>229</v>
      </c>
      <c r="C330" s="23" t="s">
        <v>44</v>
      </c>
      <c r="D330" s="23" t="s">
        <v>25</v>
      </c>
      <c r="E330" s="23" t="s">
        <v>30</v>
      </c>
      <c r="F330" s="24" t="s">
        <v>230</v>
      </c>
      <c r="G330" s="23"/>
      <c r="H330" s="25">
        <f>H331</f>
        <v>876.4</v>
      </c>
      <c r="I330" s="25" t="e">
        <f aca="true" t="shared" si="140" ref="I330:R330">I331</f>
        <v>#REF!</v>
      </c>
      <c r="J330" s="25" t="e">
        <f t="shared" si="140"/>
        <v>#REF!</v>
      </c>
      <c r="K330" s="25" t="e">
        <f t="shared" si="140"/>
        <v>#REF!</v>
      </c>
      <c r="L330" s="25" t="e">
        <f t="shared" si="140"/>
        <v>#REF!</v>
      </c>
      <c r="M330" s="25" t="e">
        <f t="shared" si="140"/>
        <v>#REF!</v>
      </c>
      <c r="N330" s="25" t="e">
        <f t="shared" si="140"/>
        <v>#REF!</v>
      </c>
      <c r="O330" s="25" t="e">
        <f t="shared" si="140"/>
        <v>#REF!</v>
      </c>
      <c r="P330" s="25" t="e">
        <f t="shared" si="140"/>
        <v>#REF!</v>
      </c>
      <c r="Q330" s="25" t="e">
        <f t="shared" si="140"/>
        <v>#REF!</v>
      </c>
      <c r="R330" s="25">
        <f t="shared" si="140"/>
        <v>875.5000000000001</v>
      </c>
      <c r="S330" s="16">
        <f aca="true" t="shared" si="141" ref="S330:S393">R330-H330</f>
        <v>-0.8999999999998636</v>
      </c>
    </row>
    <row r="331" spans="1:19" s="1" customFormat="1" ht="15">
      <c r="A331" s="56"/>
      <c r="B331" s="11" t="s">
        <v>78</v>
      </c>
      <c r="C331" s="23" t="s">
        <v>44</v>
      </c>
      <c r="D331" s="23" t="s">
        <v>25</v>
      </c>
      <c r="E331" s="23" t="s">
        <v>30</v>
      </c>
      <c r="F331" s="24" t="s">
        <v>231</v>
      </c>
      <c r="G331" s="23"/>
      <c r="H331" s="25">
        <f>H332+H333+H334</f>
        <v>876.4</v>
      </c>
      <c r="I331" s="25" t="e">
        <f aca="true" t="shared" si="142" ref="I331:R331">I332+I333+I334</f>
        <v>#REF!</v>
      </c>
      <c r="J331" s="25" t="e">
        <f t="shared" si="142"/>
        <v>#REF!</v>
      </c>
      <c r="K331" s="25" t="e">
        <f t="shared" si="142"/>
        <v>#REF!</v>
      </c>
      <c r="L331" s="25" t="e">
        <f t="shared" si="142"/>
        <v>#REF!</v>
      </c>
      <c r="M331" s="25" t="e">
        <f t="shared" si="142"/>
        <v>#REF!</v>
      </c>
      <c r="N331" s="25" t="e">
        <f t="shared" si="142"/>
        <v>#REF!</v>
      </c>
      <c r="O331" s="25" t="e">
        <f t="shared" si="142"/>
        <v>#REF!</v>
      </c>
      <c r="P331" s="25" t="e">
        <f t="shared" si="142"/>
        <v>#REF!</v>
      </c>
      <c r="Q331" s="25" t="e">
        <f t="shared" si="142"/>
        <v>#REF!</v>
      </c>
      <c r="R331" s="25">
        <f t="shared" si="142"/>
        <v>875.5000000000001</v>
      </c>
      <c r="S331" s="16">
        <f t="shared" si="141"/>
        <v>-0.8999999999998636</v>
      </c>
    </row>
    <row r="332" spans="1:19" s="1" customFormat="1" ht="90">
      <c r="A332" s="56"/>
      <c r="B332" s="11" t="s">
        <v>93</v>
      </c>
      <c r="C332" s="23" t="s">
        <v>44</v>
      </c>
      <c r="D332" s="23" t="s">
        <v>25</v>
      </c>
      <c r="E332" s="23" t="s">
        <v>30</v>
      </c>
      <c r="F332" s="24" t="s">
        <v>232</v>
      </c>
      <c r="G332" s="23" t="s">
        <v>59</v>
      </c>
      <c r="H332" s="25">
        <f>640.5+42.8-1.9</f>
        <v>681.4</v>
      </c>
      <c r="I332" s="26"/>
      <c r="J332" s="27"/>
      <c r="K332" s="27"/>
      <c r="L332" s="27"/>
      <c r="M332" s="27"/>
      <c r="N332" s="27"/>
      <c r="O332" s="27"/>
      <c r="P332" s="27"/>
      <c r="Q332" s="27"/>
      <c r="R332" s="13">
        <v>680.7</v>
      </c>
      <c r="S332" s="16">
        <f t="shared" si="141"/>
        <v>-0.6999999999999318</v>
      </c>
    </row>
    <row r="333" spans="1:19" s="1" customFormat="1" ht="60">
      <c r="A333" s="56"/>
      <c r="B333" s="11" t="s">
        <v>94</v>
      </c>
      <c r="C333" s="23" t="s">
        <v>44</v>
      </c>
      <c r="D333" s="23" t="s">
        <v>25</v>
      </c>
      <c r="E333" s="23" t="s">
        <v>30</v>
      </c>
      <c r="F333" s="24" t="s">
        <v>232</v>
      </c>
      <c r="G333" s="23" t="s">
        <v>58</v>
      </c>
      <c r="H333" s="25">
        <f>132.2+129.1-1.8-70+7+1.9+2.5-5-1.5</f>
        <v>194.39999999999995</v>
      </c>
      <c r="I333" s="26" t="e">
        <f>#REF!+#REF!</f>
        <v>#REF!</v>
      </c>
      <c r="J333" s="27" t="e">
        <f>#REF!+#REF!</f>
        <v>#REF!</v>
      </c>
      <c r="K333" s="27" t="e">
        <f>#REF!+#REF!</f>
        <v>#REF!</v>
      </c>
      <c r="L333" s="27" t="e">
        <f>#REF!+#REF!</f>
        <v>#REF!</v>
      </c>
      <c r="M333" s="27" t="e">
        <f>#REF!+#REF!</f>
        <v>#REF!</v>
      </c>
      <c r="N333" s="27" t="e">
        <f>#REF!+#REF!</f>
        <v>#REF!</v>
      </c>
      <c r="O333" s="27" t="e">
        <f>#REF!+#REF!</f>
        <v>#REF!</v>
      </c>
      <c r="P333" s="27" t="e">
        <f>#REF!+#REF!</f>
        <v>#REF!</v>
      </c>
      <c r="Q333" s="27" t="e">
        <f>#REF!+#REF!</f>
        <v>#REF!</v>
      </c>
      <c r="R333" s="13">
        <v>194.2</v>
      </c>
      <c r="S333" s="16">
        <f t="shared" si="141"/>
        <v>-0.1999999999999602</v>
      </c>
    </row>
    <row r="334" spans="1:19" s="1" customFormat="1" ht="45">
      <c r="A334" s="56"/>
      <c r="B334" s="41" t="s">
        <v>272</v>
      </c>
      <c r="C334" s="23" t="s">
        <v>44</v>
      </c>
      <c r="D334" s="23" t="s">
        <v>25</v>
      </c>
      <c r="E334" s="23" t="s">
        <v>30</v>
      </c>
      <c r="F334" s="24" t="s">
        <v>233</v>
      </c>
      <c r="G334" s="23" t="s">
        <v>54</v>
      </c>
      <c r="H334" s="25">
        <f>3.1-2.5</f>
        <v>0.6000000000000001</v>
      </c>
      <c r="I334" s="26"/>
      <c r="J334" s="27"/>
      <c r="K334" s="27"/>
      <c r="L334" s="27"/>
      <c r="M334" s="27"/>
      <c r="N334" s="27"/>
      <c r="O334" s="27"/>
      <c r="P334" s="27"/>
      <c r="Q334" s="27"/>
      <c r="R334" s="13">
        <v>0.6</v>
      </c>
      <c r="S334" s="16">
        <f t="shared" si="141"/>
        <v>0</v>
      </c>
    </row>
    <row r="335" spans="1:19" s="1" customFormat="1" ht="36" customHeight="1">
      <c r="A335" s="56"/>
      <c r="B335" s="14" t="s">
        <v>50</v>
      </c>
      <c r="C335" s="36" t="s">
        <v>45</v>
      </c>
      <c r="D335" s="36"/>
      <c r="E335" s="36"/>
      <c r="F335" s="37"/>
      <c r="G335" s="36"/>
      <c r="H335" s="16">
        <f>H336</f>
        <v>92562.20000000001</v>
      </c>
      <c r="I335" s="16" t="e">
        <f aca="true" t="shared" si="143" ref="I335:R335">I336</f>
        <v>#REF!</v>
      </c>
      <c r="J335" s="16" t="e">
        <f t="shared" si="143"/>
        <v>#REF!</v>
      </c>
      <c r="K335" s="16" t="e">
        <f t="shared" si="143"/>
        <v>#REF!</v>
      </c>
      <c r="L335" s="16" t="e">
        <f t="shared" si="143"/>
        <v>#REF!</v>
      </c>
      <c r="M335" s="16" t="e">
        <f t="shared" si="143"/>
        <v>#REF!</v>
      </c>
      <c r="N335" s="16" t="e">
        <f t="shared" si="143"/>
        <v>#REF!</v>
      </c>
      <c r="O335" s="16" t="e">
        <f t="shared" si="143"/>
        <v>#REF!</v>
      </c>
      <c r="P335" s="16" t="e">
        <f t="shared" si="143"/>
        <v>#REF!</v>
      </c>
      <c r="Q335" s="16" t="e">
        <f t="shared" si="143"/>
        <v>#REF!</v>
      </c>
      <c r="R335" s="16">
        <f t="shared" si="143"/>
        <v>91702.29999999999</v>
      </c>
      <c r="S335" s="16">
        <f t="shared" si="141"/>
        <v>-859.9000000000233</v>
      </c>
    </row>
    <row r="336" spans="1:19" s="1" customFormat="1" ht="15">
      <c r="A336" s="56"/>
      <c r="B336" s="15" t="s">
        <v>5</v>
      </c>
      <c r="C336" s="17" t="s">
        <v>45</v>
      </c>
      <c r="D336" s="17" t="s">
        <v>27</v>
      </c>
      <c r="E336" s="17"/>
      <c r="F336" s="18"/>
      <c r="G336" s="17"/>
      <c r="H336" s="16">
        <f>H337+H341+H376+H360+H371</f>
        <v>92562.20000000001</v>
      </c>
      <c r="I336" s="16" t="e">
        <f aca="true" t="shared" si="144" ref="I336:Q336">I337+I341+I376+I360</f>
        <v>#REF!</v>
      </c>
      <c r="J336" s="16" t="e">
        <f t="shared" si="144"/>
        <v>#REF!</v>
      </c>
      <c r="K336" s="16" t="e">
        <f t="shared" si="144"/>
        <v>#REF!</v>
      </c>
      <c r="L336" s="16" t="e">
        <f t="shared" si="144"/>
        <v>#REF!</v>
      </c>
      <c r="M336" s="16" t="e">
        <f t="shared" si="144"/>
        <v>#REF!</v>
      </c>
      <c r="N336" s="16" t="e">
        <f t="shared" si="144"/>
        <v>#REF!</v>
      </c>
      <c r="O336" s="16" t="e">
        <f t="shared" si="144"/>
        <v>#REF!</v>
      </c>
      <c r="P336" s="16" t="e">
        <f t="shared" si="144"/>
        <v>#REF!</v>
      </c>
      <c r="Q336" s="16" t="e">
        <f t="shared" si="144"/>
        <v>#REF!</v>
      </c>
      <c r="R336" s="16">
        <f>R337+R341+R376+R360+R371</f>
        <v>91702.29999999999</v>
      </c>
      <c r="S336" s="16">
        <f t="shared" si="141"/>
        <v>-859.9000000000233</v>
      </c>
    </row>
    <row r="337" spans="1:19" s="2" customFormat="1" ht="15">
      <c r="A337" s="57"/>
      <c r="B337" s="38" t="s">
        <v>37</v>
      </c>
      <c r="C337" s="39" t="s">
        <v>45</v>
      </c>
      <c r="D337" s="39" t="s">
        <v>27</v>
      </c>
      <c r="E337" s="39" t="s">
        <v>25</v>
      </c>
      <c r="F337" s="40"/>
      <c r="G337" s="39"/>
      <c r="H337" s="22">
        <f>H338</f>
        <v>1564</v>
      </c>
      <c r="I337" s="22" t="e">
        <f aca="true" t="shared" si="145" ref="I337:R339">I338</f>
        <v>#REF!</v>
      </c>
      <c r="J337" s="22" t="e">
        <f t="shared" si="145"/>
        <v>#REF!</v>
      </c>
      <c r="K337" s="22" t="e">
        <f t="shared" si="145"/>
        <v>#REF!</v>
      </c>
      <c r="L337" s="22" t="e">
        <f t="shared" si="145"/>
        <v>#REF!</v>
      </c>
      <c r="M337" s="22" t="e">
        <f t="shared" si="145"/>
        <v>#REF!</v>
      </c>
      <c r="N337" s="22" t="e">
        <f t="shared" si="145"/>
        <v>#REF!</v>
      </c>
      <c r="O337" s="22" t="e">
        <f t="shared" si="145"/>
        <v>#REF!</v>
      </c>
      <c r="P337" s="22" t="e">
        <f t="shared" si="145"/>
        <v>#REF!</v>
      </c>
      <c r="Q337" s="22" t="e">
        <f t="shared" si="145"/>
        <v>#REF!</v>
      </c>
      <c r="R337" s="22">
        <f t="shared" si="145"/>
        <v>1492.2</v>
      </c>
      <c r="S337" s="16">
        <f t="shared" si="141"/>
        <v>-71.79999999999995</v>
      </c>
    </row>
    <row r="338" spans="1:19" s="1" customFormat="1" ht="21.75" customHeight="1">
      <c r="A338" s="56"/>
      <c r="B338" s="11" t="s">
        <v>90</v>
      </c>
      <c r="C338" s="23" t="s">
        <v>45</v>
      </c>
      <c r="D338" s="23" t="s">
        <v>27</v>
      </c>
      <c r="E338" s="23" t="s">
        <v>25</v>
      </c>
      <c r="F338" s="24" t="s">
        <v>87</v>
      </c>
      <c r="G338" s="36"/>
      <c r="H338" s="16">
        <f>H339</f>
        <v>1564</v>
      </c>
      <c r="I338" s="16" t="e">
        <f t="shared" si="145"/>
        <v>#REF!</v>
      </c>
      <c r="J338" s="16" t="e">
        <f t="shared" si="145"/>
        <v>#REF!</v>
      </c>
      <c r="K338" s="16" t="e">
        <f t="shared" si="145"/>
        <v>#REF!</v>
      </c>
      <c r="L338" s="16" t="e">
        <f t="shared" si="145"/>
        <v>#REF!</v>
      </c>
      <c r="M338" s="16" t="e">
        <f t="shared" si="145"/>
        <v>#REF!</v>
      </c>
      <c r="N338" s="16" t="e">
        <f t="shared" si="145"/>
        <v>#REF!</v>
      </c>
      <c r="O338" s="16" t="e">
        <f t="shared" si="145"/>
        <v>#REF!</v>
      </c>
      <c r="P338" s="16" t="e">
        <f t="shared" si="145"/>
        <v>#REF!</v>
      </c>
      <c r="Q338" s="16" t="e">
        <f t="shared" si="145"/>
        <v>#REF!</v>
      </c>
      <c r="R338" s="16">
        <f t="shared" si="145"/>
        <v>1492.2</v>
      </c>
      <c r="S338" s="16">
        <f t="shared" si="141"/>
        <v>-71.79999999999995</v>
      </c>
    </row>
    <row r="339" spans="1:19" s="1" customFormat="1" ht="12.75" customHeight="1">
      <c r="A339" s="56"/>
      <c r="B339" s="11" t="s">
        <v>78</v>
      </c>
      <c r="C339" s="23" t="s">
        <v>45</v>
      </c>
      <c r="D339" s="23" t="s">
        <v>27</v>
      </c>
      <c r="E339" s="23" t="s">
        <v>25</v>
      </c>
      <c r="F339" s="24" t="s">
        <v>92</v>
      </c>
      <c r="G339" s="36"/>
      <c r="H339" s="16">
        <f>H340</f>
        <v>1564</v>
      </c>
      <c r="I339" s="16" t="e">
        <f t="shared" si="145"/>
        <v>#REF!</v>
      </c>
      <c r="J339" s="16" t="e">
        <f t="shared" si="145"/>
        <v>#REF!</v>
      </c>
      <c r="K339" s="16" t="e">
        <f t="shared" si="145"/>
        <v>#REF!</v>
      </c>
      <c r="L339" s="16" t="e">
        <f t="shared" si="145"/>
        <v>#REF!</v>
      </c>
      <c r="M339" s="16" t="e">
        <f t="shared" si="145"/>
        <v>#REF!</v>
      </c>
      <c r="N339" s="16" t="e">
        <f t="shared" si="145"/>
        <v>#REF!</v>
      </c>
      <c r="O339" s="16" t="e">
        <f t="shared" si="145"/>
        <v>#REF!</v>
      </c>
      <c r="P339" s="16" t="e">
        <f t="shared" si="145"/>
        <v>#REF!</v>
      </c>
      <c r="Q339" s="16" t="e">
        <f t="shared" si="145"/>
        <v>#REF!</v>
      </c>
      <c r="R339" s="16">
        <f t="shared" si="145"/>
        <v>1492.2</v>
      </c>
      <c r="S339" s="16">
        <f t="shared" si="141"/>
        <v>-71.79999999999995</v>
      </c>
    </row>
    <row r="340" spans="1:19" s="1" customFormat="1" ht="39" customHeight="1">
      <c r="A340" s="56"/>
      <c r="B340" s="41" t="s">
        <v>274</v>
      </c>
      <c r="C340" s="32" t="s">
        <v>45</v>
      </c>
      <c r="D340" s="32" t="s">
        <v>27</v>
      </c>
      <c r="E340" s="32" t="s">
        <v>25</v>
      </c>
      <c r="F340" s="42" t="s">
        <v>234</v>
      </c>
      <c r="G340" s="32" t="s">
        <v>60</v>
      </c>
      <c r="H340" s="25">
        <v>1564</v>
      </c>
      <c r="I340" s="43" t="e">
        <f>#REF!</f>
        <v>#REF!</v>
      </c>
      <c r="J340" s="44" t="e">
        <f>#REF!</f>
        <v>#REF!</v>
      </c>
      <c r="K340" s="44" t="e">
        <f>#REF!</f>
        <v>#REF!</v>
      </c>
      <c r="L340" s="44" t="e">
        <f>#REF!</f>
        <v>#REF!</v>
      </c>
      <c r="M340" s="44" t="e">
        <f>#REF!</f>
        <v>#REF!</v>
      </c>
      <c r="N340" s="44" t="e">
        <f>#REF!</f>
        <v>#REF!</v>
      </c>
      <c r="O340" s="44" t="e">
        <f>#REF!</f>
        <v>#REF!</v>
      </c>
      <c r="P340" s="44" t="e">
        <f>#REF!</f>
        <v>#REF!</v>
      </c>
      <c r="Q340" s="44" t="e">
        <f>#REF!</f>
        <v>#REF!</v>
      </c>
      <c r="R340" s="13">
        <v>1492.2</v>
      </c>
      <c r="S340" s="16">
        <f t="shared" si="141"/>
        <v>-71.79999999999995</v>
      </c>
    </row>
    <row r="341" spans="1:19" s="2" customFormat="1" ht="15">
      <c r="A341" s="57"/>
      <c r="B341" s="38" t="s">
        <v>17</v>
      </c>
      <c r="C341" s="39" t="s">
        <v>45</v>
      </c>
      <c r="D341" s="39" t="s">
        <v>27</v>
      </c>
      <c r="E341" s="39" t="s">
        <v>28</v>
      </c>
      <c r="F341" s="40"/>
      <c r="G341" s="39"/>
      <c r="H341" s="22">
        <f>H342</f>
        <v>64276.5</v>
      </c>
      <c r="I341" s="22" t="e">
        <f aca="true" t="shared" si="146" ref="I341:R343">I342</f>
        <v>#REF!</v>
      </c>
      <c r="J341" s="22" t="e">
        <f t="shared" si="146"/>
        <v>#REF!</v>
      </c>
      <c r="K341" s="22" t="e">
        <f t="shared" si="146"/>
        <v>#REF!</v>
      </c>
      <c r="L341" s="22" t="e">
        <f t="shared" si="146"/>
        <v>#REF!</v>
      </c>
      <c r="M341" s="22" t="e">
        <f t="shared" si="146"/>
        <v>#REF!</v>
      </c>
      <c r="N341" s="22" t="e">
        <f t="shared" si="146"/>
        <v>#REF!</v>
      </c>
      <c r="O341" s="22" t="e">
        <f t="shared" si="146"/>
        <v>#REF!</v>
      </c>
      <c r="P341" s="22" t="e">
        <f t="shared" si="146"/>
        <v>#REF!</v>
      </c>
      <c r="Q341" s="22" t="e">
        <f t="shared" si="146"/>
        <v>#REF!</v>
      </c>
      <c r="R341" s="22">
        <f t="shared" si="146"/>
        <v>63529.299999999996</v>
      </c>
      <c r="S341" s="16">
        <f t="shared" si="141"/>
        <v>-747.2000000000044</v>
      </c>
    </row>
    <row r="342" spans="1:19" s="2" customFormat="1" ht="36" customHeight="1">
      <c r="A342" s="57"/>
      <c r="B342" s="41" t="s">
        <v>235</v>
      </c>
      <c r="C342" s="32" t="s">
        <v>45</v>
      </c>
      <c r="D342" s="32" t="s">
        <v>27</v>
      </c>
      <c r="E342" s="32" t="s">
        <v>28</v>
      </c>
      <c r="F342" s="42" t="s">
        <v>25</v>
      </c>
      <c r="G342" s="32"/>
      <c r="H342" s="25">
        <f>H343</f>
        <v>64276.5</v>
      </c>
      <c r="I342" s="25" t="e">
        <f t="shared" si="146"/>
        <v>#REF!</v>
      </c>
      <c r="J342" s="25" t="e">
        <f t="shared" si="146"/>
        <v>#REF!</v>
      </c>
      <c r="K342" s="25" t="e">
        <f t="shared" si="146"/>
        <v>#REF!</v>
      </c>
      <c r="L342" s="25" t="e">
        <f t="shared" si="146"/>
        <v>#REF!</v>
      </c>
      <c r="M342" s="25" t="e">
        <f t="shared" si="146"/>
        <v>#REF!</v>
      </c>
      <c r="N342" s="25" t="e">
        <f t="shared" si="146"/>
        <v>#REF!</v>
      </c>
      <c r="O342" s="25" t="e">
        <f t="shared" si="146"/>
        <v>#REF!</v>
      </c>
      <c r="P342" s="25" t="e">
        <f t="shared" si="146"/>
        <v>#REF!</v>
      </c>
      <c r="Q342" s="25" t="e">
        <f t="shared" si="146"/>
        <v>#REF!</v>
      </c>
      <c r="R342" s="25">
        <f t="shared" si="146"/>
        <v>63529.299999999996</v>
      </c>
      <c r="S342" s="16">
        <f t="shared" si="141"/>
        <v>-747.2000000000044</v>
      </c>
    </row>
    <row r="343" spans="1:19" s="2" customFormat="1" ht="30">
      <c r="A343" s="57"/>
      <c r="B343" s="41" t="s">
        <v>236</v>
      </c>
      <c r="C343" s="32" t="s">
        <v>45</v>
      </c>
      <c r="D343" s="32" t="s">
        <v>27</v>
      </c>
      <c r="E343" s="32" t="s">
        <v>28</v>
      </c>
      <c r="F343" s="42" t="s">
        <v>237</v>
      </c>
      <c r="G343" s="32"/>
      <c r="H343" s="25">
        <f>H344</f>
        <v>64276.5</v>
      </c>
      <c r="I343" s="25" t="e">
        <f t="shared" si="146"/>
        <v>#REF!</v>
      </c>
      <c r="J343" s="25" t="e">
        <f t="shared" si="146"/>
        <v>#REF!</v>
      </c>
      <c r="K343" s="25" t="e">
        <f t="shared" si="146"/>
        <v>#REF!</v>
      </c>
      <c r="L343" s="25" t="e">
        <f t="shared" si="146"/>
        <v>#REF!</v>
      </c>
      <c r="M343" s="25" t="e">
        <f t="shared" si="146"/>
        <v>#REF!</v>
      </c>
      <c r="N343" s="25" t="e">
        <f t="shared" si="146"/>
        <v>#REF!</v>
      </c>
      <c r="O343" s="25" t="e">
        <f t="shared" si="146"/>
        <v>#REF!</v>
      </c>
      <c r="P343" s="25" t="e">
        <f t="shared" si="146"/>
        <v>#REF!</v>
      </c>
      <c r="Q343" s="25" t="e">
        <f t="shared" si="146"/>
        <v>#REF!</v>
      </c>
      <c r="R343" s="25">
        <f t="shared" si="146"/>
        <v>63529.299999999996</v>
      </c>
      <c r="S343" s="16">
        <f t="shared" si="141"/>
        <v>-747.2000000000044</v>
      </c>
    </row>
    <row r="344" spans="1:19" s="2" customFormat="1" ht="30">
      <c r="A344" s="57"/>
      <c r="B344" s="41" t="s">
        <v>336</v>
      </c>
      <c r="C344" s="32" t="s">
        <v>45</v>
      </c>
      <c r="D344" s="32" t="s">
        <v>27</v>
      </c>
      <c r="E344" s="32" t="s">
        <v>28</v>
      </c>
      <c r="F344" s="42" t="s">
        <v>238</v>
      </c>
      <c r="G344" s="32"/>
      <c r="H344" s="25">
        <f>SUM(H345:H359)</f>
        <v>64276.5</v>
      </c>
      <c r="I344" s="25" t="e">
        <f aca="true" t="shared" si="147" ref="I344:Q344">SUM(I345:I359)</f>
        <v>#REF!</v>
      </c>
      <c r="J344" s="25" t="e">
        <f t="shared" si="147"/>
        <v>#REF!</v>
      </c>
      <c r="K344" s="25" t="e">
        <f t="shared" si="147"/>
        <v>#REF!</v>
      </c>
      <c r="L344" s="25" t="e">
        <f t="shared" si="147"/>
        <v>#REF!</v>
      </c>
      <c r="M344" s="25" t="e">
        <f t="shared" si="147"/>
        <v>#REF!</v>
      </c>
      <c r="N344" s="25" t="e">
        <f t="shared" si="147"/>
        <v>#REF!</v>
      </c>
      <c r="O344" s="25" t="e">
        <f t="shared" si="147"/>
        <v>#REF!</v>
      </c>
      <c r="P344" s="25" t="e">
        <f t="shared" si="147"/>
        <v>#REF!</v>
      </c>
      <c r="Q344" s="25" t="e">
        <f t="shared" si="147"/>
        <v>#REF!</v>
      </c>
      <c r="R344" s="25">
        <f>SUM(R345:R359)</f>
        <v>63529.299999999996</v>
      </c>
      <c r="S344" s="16">
        <f t="shared" si="141"/>
        <v>-747.2000000000044</v>
      </c>
    </row>
    <row r="345" spans="1:19" s="1" customFormat="1" ht="39.75" customHeight="1">
      <c r="A345" s="56"/>
      <c r="B345" s="41" t="s">
        <v>239</v>
      </c>
      <c r="C345" s="32" t="s">
        <v>45</v>
      </c>
      <c r="D345" s="32" t="s">
        <v>27</v>
      </c>
      <c r="E345" s="32" t="s">
        <v>28</v>
      </c>
      <c r="F345" s="42" t="s">
        <v>363</v>
      </c>
      <c r="G345" s="32" t="s">
        <v>60</v>
      </c>
      <c r="H345" s="25">
        <f>250.4-60-6.4</f>
        <v>184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3">
        <v>116.1</v>
      </c>
      <c r="S345" s="16">
        <f t="shared" si="141"/>
        <v>-67.9</v>
      </c>
    </row>
    <row r="346" spans="1:19" s="1" customFormat="1" ht="61.5" customHeight="1">
      <c r="A346" s="56"/>
      <c r="B346" s="41" t="s">
        <v>356</v>
      </c>
      <c r="C346" s="32" t="s">
        <v>45</v>
      </c>
      <c r="D346" s="32" t="s">
        <v>27</v>
      </c>
      <c r="E346" s="32" t="s">
        <v>28</v>
      </c>
      <c r="F346" s="42" t="s">
        <v>309</v>
      </c>
      <c r="G346" s="32" t="s">
        <v>58</v>
      </c>
      <c r="H346" s="25">
        <f>110.8-4-20.8</f>
        <v>86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3">
        <v>86</v>
      </c>
      <c r="S346" s="16">
        <f t="shared" si="141"/>
        <v>0</v>
      </c>
    </row>
    <row r="347" spans="1:19" s="1" customFormat="1" ht="46.5" customHeight="1">
      <c r="A347" s="56"/>
      <c r="B347" s="41" t="s">
        <v>308</v>
      </c>
      <c r="C347" s="32" t="s">
        <v>45</v>
      </c>
      <c r="D347" s="32" t="s">
        <v>27</v>
      </c>
      <c r="E347" s="32" t="s">
        <v>28</v>
      </c>
      <c r="F347" s="42" t="s">
        <v>309</v>
      </c>
      <c r="G347" s="32" t="s">
        <v>60</v>
      </c>
      <c r="H347" s="25">
        <f>16000-110.8+2200+4+20.8</f>
        <v>18114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3">
        <v>18107.9</v>
      </c>
      <c r="S347" s="16">
        <f t="shared" si="141"/>
        <v>-6.099999999998545</v>
      </c>
    </row>
    <row r="348" spans="1:19" s="1" customFormat="1" ht="57.75" customHeight="1">
      <c r="A348" s="56"/>
      <c r="B348" s="41" t="s">
        <v>467</v>
      </c>
      <c r="C348" s="32" t="s">
        <v>45</v>
      </c>
      <c r="D348" s="32" t="s">
        <v>27</v>
      </c>
      <c r="E348" s="32" t="s">
        <v>28</v>
      </c>
      <c r="F348" s="42" t="s">
        <v>452</v>
      </c>
      <c r="G348" s="32" t="s">
        <v>60</v>
      </c>
      <c r="H348" s="25">
        <v>622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3">
        <v>15.1</v>
      </c>
      <c r="S348" s="16">
        <f t="shared" si="141"/>
        <v>-606.9</v>
      </c>
    </row>
    <row r="349" spans="1:19" s="1" customFormat="1" ht="60.75" customHeight="1">
      <c r="A349" s="56"/>
      <c r="B349" s="41" t="s">
        <v>468</v>
      </c>
      <c r="C349" s="32" t="s">
        <v>45</v>
      </c>
      <c r="D349" s="32" t="s">
        <v>27</v>
      </c>
      <c r="E349" s="32" t="s">
        <v>28</v>
      </c>
      <c r="F349" s="42" t="s">
        <v>465</v>
      </c>
      <c r="G349" s="32" t="s">
        <v>60</v>
      </c>
      <c r="H349" s="25">
        <v>50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13">
        <v>0</v>
      </c>
      <c r="S349" s="16">
        <f t="shared" si="141"/>
        <v>-50</v>
      </c>
    </row>
    <row r="350" spans="1:19" s="1" customFormat="1" ht="46.5" customHeight="1">
      <c r="A350" s="56"/>
      <c r="B350" s="41" t="s">
        <v>357</v>
      </c>
      <c r="C350" s="32" t="s">
        <v>45</v>
      </c>
      <c r="D350" s="32" t="s">
        <v>27</v>
      </c>
      <c r="E350" s="32" t="s">
        <v>28</v>
      </c>
      <c r="F350" s="42" t="s">
        <v>240</v>
      </c>
      <c r="G350" s="32" t="s">
        <v>58</v>
      </c>
      <c r="H350" s="25">
        <f>188.4-23</f>
        <v>165.4</v>
      </c>
      <c r="I350" s="12"/>
      <c r="J350" s="12"/>
      <c r="K350" s="12"/>
      <c r="L350" s="12"/>
      <c r="M350" s="12"/>
      <c r="N350" s="12"/>
      <c r="O350" s="12"/>
      <c r="P350" s="12"/>
      <c r="Q350" s="12"/>
      <c r="R350" s="13">
        <v>165.4</v>
      </c>
      <c r="S350" s="16">
        <f t="shared" si="141"/>
        <v>0</v>
      </c>
    </row>
    <row r="351" spans="1:19" s="1" customFormat="1" ht="46.5" customHeight="1">
      <c r="A351" s="56"/>
      <c r="B351" s="41" t="s">
        <v>453</v>
      </c>
      <c r="C351" s="32" t="s">
        <v>45</v>
      </c>
      <c r="D351" s="32" t="s">
        <v>27</v>
      </c>
      <c r="E351" s="32" t="s">
        <v>28</v>
      </c>
      <c r="F351" s="42" t="s">
        <v>240</v>
      </c>
      <c r="G351" s="32" t="s">
        <v>60</v>
      </c>
      <c r="H351" s="25">
        <f>2500-188.4-500+20+23+158</f>
        <v>2012.6</v>
      </c>
      <c r="I351" s="73">
        <f aca="true" t="shared" si="148" ref="I351:Q351">I353</f>
        <v>0</v>
      </c>
      <c r="J351" s="74">
        <f t="shared" si="148"/>
        <v>0</v>
      </c>
      <c r="K351" s="74">
        <f t="shared" si="148"/>
        <v>0</v>
      </c>
      <c r="L351" s="74">
        <f t="shared" si="148"/>
        <v>0</v>
      </c>
      <c r="M351" s="74">
        <f t="shared" si="148"/>
        <v>0</v>
      </c>
      <c r="N351" s="74">
        <f t="shared" si="148"/>
        <v>0</v>
      </c>
      <c r="O351" s="74">
        <f t="shared" si="148"/>
        <v>0</v>
      </c>
      <c r="P351" s="74">
        <f t="shared" si="148"/>
        <v>0</v>
      </c>
      <c r="Q351" s="74">
        <f t="shared" si="148"/>
        <v>0</v>
      </c>
      <c r="R351" s="13">
        <v>2012.3</v>
      </c>
      <c r="S351" s="16">
        <f t="shared" si="141"/>
        <v>-0.2999999999999545</v>
      </c>
    </row>
    <row r="352" spans="1:19" s="1" customFormat="1" ht="63.75" customHeight="1">
      <c r="A352" s="56"/>
      <c r="B352" s="41" t="s">
        <v>353</v>
      </c>
      <c r="C352" s="32" t="s">
        <v>45</v>
      </c>
      <c r="D352" s="32" t="s">
        <v>27</v>
      </c>
      <c r="E352" s="32" t="s">
        <v>28</v>
      </c>
      <c r="F352" s="42" t="s">
        <v>242</v>
      </c>
      <c r="G352" s="32" t="s">
        <v>58</v>
      </c>
      <c r="H352" s="25">
        <f>9.8-2</f>
        <v>7.800000000000001</v>
      </c>
      <c r="I352" s="73"/>
      <c r="J352" s="74"/>
      <c r="K352" s="74"/>
      <c r="L352" s="74"/>
      <c r="M352" s="74"/>
      <c r="N352" s="74"/>
      <c r="O352" s="74"/>
      <c r="P352" s="74"/>
      <c r="Q352" s="74"/>
      <c r="R352" s="13">
        <v>7.5</v>
      </c>
      <c r="S352" s="16">
        <f t="shared" si="141"/>
        <v>-0.3000000000000007</v>
      </c>
    </row>
    <row r="353" spans="1:20" s="1" customFormat="1" ht="52.5" customHeight="1">
      <c r="A353" s="56"/>
      <c r="B353" s="41" t="s">
        <v>241</v>
      </c>
      <c r="C353" s="32" t="s">
        <v>45</v>
      </c>
      <c r="D353" s="32" t="s">
        <v>27</v>
      </c>
      <c r="E353" s="32" t="s">
        <v>28</v>
      </c>
      <c r="F353" s="42" t="s">
        <v>242</v>
      </c>
      <c r="G353" s="32" t="s">
        <v>60</v>
      </c>
      <c r="H353" s="25">
        <f>4634.3-9.8-244.9-296+1060.8+143+2-0.1</f>
        <v>5289.3</v>
      </c>
      <c r="I353" s="48"/>
      <c r="J353" s="8"/>
      <c r="K353" s="8"/>
      <c r="L353" s="8"/>
      <c r="M353" s="8"/>
      <c r="N353" s="8"/>
      <c r="O353" s="8"/>
      <c r="P353" s="8"/>
      <c r="Q353" s="8"/>
      <c r="R353" s="13">
        <v>5287.8</v>
      </c>
      <c r="S353" s="16">
        <f t="shared" si="141"/>
        <v>-1.5</v>
      </c>
      <c r="T353" s="97">
        <v>-0.1</v>
      </c>
    </row>
    <row r="354" spans="1:20" s="1" customFormat="1" ht="62.25" customHeight="1">
      <c r="A354" s="56"/>
      <c r="B354" s="41" t="s">
        <v>354</v>
      </c>
      <c r="C354" s="32" t="s">
        <v>45</v>
      </c>
      <c r="D354" s="32" t="s">
        <v>27</v>
      </c>
      <c r="E354" s="32" t="s">
        <v>28</v>
      </c>
      <c r="F354" s="42" t="s">
        <v>244</v>
      </c>
      <c r="G354" s="32" t="s">
        <v>58</v>
      </c>
      <c r="H354" s="79">
        <f>66.9-10-16.9+0.1</f>
        <v>40.10000000000001</v>
      </c>
      <c r="I354" s="92"/>
      <c r="J354" s="92"/>
      <c r="K354" s="92"/>
      <c r="L354" s="92"/>
      <c r="M354" s="92"/>
      <c r="N354" s="92"/>
      <c r="O354" s="92"/>
      <c r="P354" s="92"/>
      <c r="Q354" s="92"/>
      <c r="R354" s="80">
        <v>40.1</v>
      </c>
      <c r="S354" s="16">
        <f t="shared" si="141"/>
        <v>0</v>
      </c>
      <c r="T354" s="1">
        <v>0.1</v>
      </c>
    </row>
    <row r="355" spans="1:20" s="1" customFormat="1" ht="54.75" customHeight="1">
      <c r="A355" s="56"/>
      <c r="B355" s="41" t="s">
        <v>243</v>
      </c>
      <c r="C355" s="32" t="s">
        <v>45</v>
      </c>
      <c r="D355" s="32" t="s">
        <v>27</v>
      </c>
      <c r="E355" s="32" t="s">
        <v>28</v>
      </c>
      <c r="F355" s="42" t="s">
        <v>244</v>
      </c>
      <c r="G355" s="32" t="s">
        <v>60</v>
      </c>
      <c r="H355" s="25">
        <f>16277.1-66.9-1990+1039-343.4-16.4+767+16.9-0.2</f>
        <v>15683.1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3">
        <v>15675.7</v>
      </c>
      <c r="S355" s="16">
        <f t="shared" si="141"/>
        <v>-7.399999999999636</v>
      </c>
      <c r="T355" s="1">
        <v>-0.2</v>
      </c>
    </row>
    <row r="356" spans="1:19" s="1" customFormat="1" ht="54.75" customHeight="1">
      <c r="A356" s="56"/>
      <c r="B356" s="41" t="s">
        <v>355</v>
      </c>
      <c r="C356" s="32" t="s">
        <v>45</v>
      </c>
      <c r="D356" s="32" t="s">
        <v>27</v>
      </c>
      <c r="E356" s="32" t="s">
        <v>28</v>
      </c>
      <c r="F356" s="42" t="s">
        <v>245</v>
      </c>
      <c r="G356" s="32" t="s">
        <v>58</v>
      </c>
      <c r="H356" s="25">
        <f>46.3-11.4</f>
        <v>34.9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3">
        <v>34.9</v>
      </c>
      <c r="S356" s="16">
        <f t="shared" si="141"/>
        <v>0</v>
      </c>
    </row>
    <row r="357" spans="1:19" s="1" customFormat="1" ht="49.5" customHeight="1">
      <c r="A357" s="56"/>
      <c r="B357" s="41" t="s">
        <v>307</v>
      </c>
      <c r="C357" s="32" t="s">
        <v>45</v>
      </c>
      <c r="D357" s="32" t="s">
        <v>27</v>
      </c>
      <c r="E357" s="32" t="s">
        <v>28</v>
      </c>
      <c r="F357" s="42" t="s">
        <v>245</v>
      </c>
      <c r="G357" s="32" t="s">
        <v>60</v>
      </c>
      <c r="H357" s="25">
        <f>8334.6-46.3-511-17.1-96.2-20+753+11.4</f>
        <v>8408.4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3">
        <v>8401.6</v>
      </c>
      <c r="S357" s="16">
        <f t="shared" si="141"/>
        <v>-6.799999999999272</v>
      </c>
    </row>
    <row r="358" spans="1:19" s="1" customFormat="1" ht="45">
      <c r="A358" s="56"/>
      <c r="B358" s="41" t="s">
        <v>283</v>
      </c>
      <c r="C358" s="32" t="s">
        <v>45</v>
      </c>
      <c r="D358" s="32" t="s">
        <v>27</v>
      </c>
      <c r="E358" s="32" t="s">
        <v>28</v>
      </c>
      <c r="F358" s="42" t="s">
        <v>246</v>
      </c>
      <c r="G358" s="32" t="s">
        <v>60</v>
      </c>
      <c r="H358" s="25">
        <f>2166.3+100.1+210</f>
        <v>2476.4</v>
      </c>
      <c r="I358" s="26" t="e">
        <f>#REF!</f>
        <v>#REF!</v>
      </c>
      <c r="J358" s="27" t="e">
        <f>#REF!</f>
        <v>#REF!</v>
      </c>
      <c r="K358" s="27" t="e">
        <f>#REF!</f>
        <v>#REF!</v>
      </c>
      <c r="L358" s="27" t="e">
        <f>#REF!</f>
        <v>#REF!</v>
      </c>
      <c r="M358" s="27" t="e">
        <f>#REF!</f>
        <v>#REF!</v>
      </c>
      <c r="N358" s="27" t="e">
        <f>#REF!</f>
        <v>#REF!</v>
      </c>
      <c r="O358" s="27" t="e">
        <f>#REF!</f>
        <v>#REF!</v>
      </c>
      <c r="P358" s="27" t="e">
        <f>#REF!</f>
        <v>#REF!</v>
      </c>
      <c r="Q358" s="27" t="e">
        <f>#REF!</f>
        <v>#REF!</v>
      </c>
      <c r="R358" s="13">
        <v>2476.4</v>
      </c>
      <c r="S358" s="16">
        <f t="shared" si="141"/>
        <v>0</v>
      </c>
    </row>
    <row r="359" spans="1:19" s="1" customFormat="1" ht="67.5" customHeight="1">
      <c r="A359" s="56"/>
      <c r="B359" s="41" t="s">
        <v>251</v>
      </c>
      <c r="C359" s="32" t="s">
        <v>45</v>
      </c>
      <c r="D359" s="32" t="s">
        <v>27</v>
      </c>
      <c r="E359" s="32" t="s">
        <v>28</v>
      </c>
      <c r="F359" s="42" t="s">
        <v>247</v>
      </c>
      <c r="G359" s="32" t="s">
        <v>60</v>
      </c>
      <c r="H359" s="25">
        <f>32245.7-15109.9-6033.3</f>
        <v>11102.500000000004</v>
      </c>
      <c r="I359" s="62"/>
      <c r="J359" s="62"/>
      <c r="K359" s="62"/>
      <c r="L359" s="62"/>
      <c r="M359" s="62"/>
      <c r="N359" s="62"/>
      <c r="O359" s="62"/>
      <c r="P359" s="62"/>
      <c r="Q359" s="62"/>
      <c r="R359" s="13">
        <v>11102.5</v>
      </c>
      <c r="S359" s="16">
        <f t="shared" si="141"/>
        <v>0</v>
      </c>
    </row>
    <row r="360" spans="1:19" s="2" customFormat="1" ht="15">
      <c r="A360" s="57"/>
      <c r="B360" s="38" t="s">
        <v>10</v>
      </c>
      <c r="C360" s="39" t="s">
        <v>45</v>
      </c>
      <c r="D360" s="39" t="s">
        <v>27</v>
      </c>
      <c r="E360" s="39" t="s">
        <v>26</v>
      </c>
      <c r="F360" s="40"/>
      <c r="G360" s="39"/>
      <c r="H360" s="22">
        <f>H361</f>
        <v>20333.4</v>
      </c>
      <c r="I360" s="22">
        <f aca="true" t="shared" si="149" ref="I360:R362">I361</f>
        <v>0</v>
      </c>
      <c r="J360" s="22">
        <f t="shared" si="149"/>
        <v>0</v>
      </c>
      <c r="K360" s="22">
        <f t="shared" si="149"/>
        <v>0</v>
      </c>
      <c r="L360" s="22">
        <f t="shared" si="149"/>
        <v>0</v>
      </c>
      <c r="M360" s="22">
        <f t="shared" si="149"/>
        <v>0</v>
      </c>
      <c r="N360" s="22">
        <f t="shared" si="149"/>
        <v>0</v>
      </c>
      <c r="O360" s="22">
        <f t="shared" si="149"/>
        <v>0</v>
      </c>
      <c r="P360" s="22">
        <f t="shared" si="149"/>
        <v>0</v>
      </c>
      <c r="Q360" s="22">
        <f t="shared" si="149"/>
        <v>0</v>
      </c>
      <c r="R360" s="22">
        <f t="shared" si="149"/>
        <v>20307.9</v>
      </c>
      <c r="S360" s="16">
        <f t="shared" si="141"/>
        <v>-25.5</v>
      </c>
    </row>
    <row r="361" spans="1:19" s="2" customFormat="1" ht="30">
      <c r="A361" s="57"/>
      <c r="B361" s="41" t="s">
        <v>235</v>
      </c>
      <c r="C361" s="32" t="s">
        <v>45</v>
      </c>
      <c r="D361" s="32" t="s">
        <v>27</v>
      </c>
      <c r="E361" s="32" t="s">
        <v>26</v>
      </c>
      <c r="F361" s="42" t="s">
        <v>25</v>
      </c>
      <c r="G361" s="32"/>
      <c r="H361" s="25">
        <f>H362</f>
        <v>20333.4</v>
      </c>
      <c r="I361" s="25">
        <f t="shared" si="149"/>
        <v>0</v>
      </c>
      <c r="J361" s="25">
        <f t="shared" si="149"/>
        <v>0</v>
      </c>
      <c r="K361" s="25">
        <f t="shared" si="149"/>
        <v>0</v>
      </c>
      <c r="L361" s="25">
        <f t="shared" si="149"/>
        <v>0</v>
      </c>
      <c r="M361" s="25">
        <f t="shared" si="149"/>
        <v>0</v>
      </c>
      <c r="N361" s="25">
        <f t="shared" si="149"/>
        <v>0</v>
      </c>
      <c r="O361" s="25">
        <f t="shared" si="149"/>
        <v>0</v>
      </c>
      <c r="P361" s="25">
        <f t="shared" si="149"/>
        <v>0</v>
      </c>
      <c r="Q361" s="25">
        <f t="shared" si="149"/>
        <v>0</v>
      </c>
      <c r="R361" s="25">
        <f t="shared" si="149"/>
        <v>20307.9</v>
      </c>
      <c r="S361" s="16">
        <f t="shared" si="141"/>
        <v>-25.5</v>
      </c>
    </row>
    <row r="362" spans="1:19" s="2" customFormat="1" ht="30">
      <c r="A362" s="57"/>
      <c r="B362" s="41" t="s">
        <v>236</v>
      </c>
      <c r="C362" s="32" t="s">
        <v>45</v>
      </c>
      <c r="D362" s="32" t="s">
        <v>27</v>
      </c>
      <c r="E362" s="32" t="s">
        <v>26</v>
      </c>
      <c r="F362" s="42" t="s">
        <v>237</v>
      </c>
      <c r="G362" s="32"/>
      <c r="H362" s="25">
        <f>H363</f>
        <v>20333.4</v>
      </c>
      <c r="I362" s="25">
        <f t="shared" si="149"/>
        <v>0</v>
      </c>
      <c r="J362" s="25">
        <f t="shared" si="149"/>
        <v>0</v>
      </c>
      <c r="K362" s="25">
        <f t="shared" si="149"/>
        <v>0</v>
      </c>
      <c r="L362" s="25">
        <f t="shared" si="149"/>
        <v>0</v>
      </c>
      <c r="M362" s="25">
        <f t="shared" si="149"/>
        <v>0</v>
      </c>
      <c r="N362" s="25">
        <f t="shared" si="149"/>
        <v>0</v>
      </c>
      <c r="O362" s="25">
        <f t="shared" si="149"/>
        <v>0</v>
      </c>
      <c r="P362" s="25">
        <f t="shared" si="149"/>
        <v>0</v>
      </c>
      <c r="Q362" s="25">
        <f t="shared" si="149"/>
        <v>0</v>
      </c>
      <c r="R362" s="25">
        <f t="shared" si="149"/>
        <v>20307.9</v>
      </c>
      <c r="S362" s="16">
        <f t="shared" si="141"/>
        <v>-25.5</v>
      </c>
    </row>
    <row r="363" spans="1:19" s="2" customFormat="1" ht="30">
      <c r="A363" s="57"/>
      <c r="B363" s="41" t="s">
        <v>336</v>
      </c>
      <c r="C363" s="32" t="s">
        <v>45</v>
      </c>
      <c r="D363" s="32" t="s">
        <v>27</v>
      </c>
      <c r="E363" s="32" t="s">
        <v>26</v>
      </c>
      <c r="F363" s="42" t="s">
        <v>238</v>
      </c>
      <c r="G363" s="32"/>
      <c r="H363" s="25">
        <f>H365+H368+H369+H370+H364+H366+H367</f>
        <v>20333.4</v>
      </c>
      <c r="I363" s="25">
        <f aca="true" t="shared" si="150" ref="I363:R363">I365+I368+I369+I370+I364+I366+I367</f>
        <v>0</v>
      </c>
      <c r="J363" s="25">
        <f t="shared" si="150"/>
        <v>0</v>
      </c>
      <c r="K363" s="25">
        <f t="shared" si="150"/>
        <v>0</v>
      </c>
      <c r="L363" s="25">
        <f t="shared" si="150"/>
        <v>0</v>
      </c>
      <c r="M363" s="25">
        <f t="shared" si="150"/>
        <v>0</v>
      </c>
      <c r="N363" s="25">
        <f t="shared" si="150"/>
        <v>0</v>
      </c>
      <c r="O363" s="25">
        <f t="shared" si="150"/>
        <v>0</v>
      </c>
      <c r="P363" s="25">
        <f t="shared" si="150"/>
        <v>0</v>
      </c>
      <c r="Q363" s="25">
        <f t="shared" si="150"/>
        <v>0</v>
      </c>
      <c r="R363" s="25">
        <f t="shared" si="150"/>
        <v>20307.9</v>
      </c>
      <c r="S363" s="16">
        <f t="shared" si="141"/>
        <v>-25.5</v>
      </c>
    </row>
    <row r="364" spans="1:19" s="2" customFormat="1" ht="60">
      <c r="A364" s="57"/>
      <c r="B364" s="41" t="s">
        <v>385</v>
      </c>
      <c r="C364" s="32" t="s">
        <v>45</v>
      </c>
      <c r="D364" s="32" t="s">
        <v>27</v>
      </c>
      <c r="E364" s="32" t="s">
        <v>26</v>
      </c>
      <c r="F364" s="42" t="s">
        <v>249</v>
      </c>
      <c r="G364" s="32" t="s">
        <v>58</v>
      </c>
      <c r="H364" s="25">
        <v>37.7</v>
      </c>
      <c r="I364" s="33"/>
      <c r="J364" s="33"/>
      <c r="K364" s="33"/>
      <c r="L364" s="33"/>
      <c r="M364" s="33"/>
      <c r="N364" s="33"/>
      <c r="O364" s="33"/>
      <c r="P364" s="33"/>
      <c r="Q364" s="33"/>
      <c r="R364" s="25">
        <v>37.7</v>
      </c>
      <c r="S364" s="16">
        <f t="shared" si="141"/>
        <v>0</v>
      </c>
    </row>
    <row r="365" spans="1:20" s="1" customFormat="1" ht="45">
      <c r="A365" s="56"/>
      <c r="B365" s="41" t="s">
        <v>248</v>
      </c>
      <c r="C365" s="32" t="s">
        <v>45</v>
      </c>
      <c r="D365" s="32" t="s">
        <v>27</v>
      </c>
      <c r="E365" s="32" t="s">
        <v>26</v>
      </c>
      <c r="F365" s="42" t="s">
        <v>249</v>
      </c>
      <c r="G365" s="32" t="s">
        <v>60</v>
      </c>
      <c r="H365" s="25">
        <f>7474-37.7+3000-3000-974-1100+444.6+6+0.1</f>
        <v>5813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3">
        <v>5813</v>
      </c>
      <c r="S365" s="16">
        <f t="shared" si="141"/>
        <v>0</v>
      </c>
      <c r="T365" s="1">
        <v>0.1</v>
      </c>
    </row>
    <row r="366" spans="1:19" s="1" customFormat="1" ht="60">
      <c r="A366" s="56"/>
      <c r="B366" s="41" t="s">
        <v>385</v>
      </c>
      <c r="C366" s="32" t="s">
        <v>45</v>
      </c>
      <c r="D366" s="32" t="s">
        <v>27</v>
      </c>
      <c r="E366" s="32" t="s">
        <v>26</v>
      </c>
      <c r="F366" s="42" t="s">
        <v>386</v>
      </c>
      <c r="G366" s="32" t="s">
        <v>58</v>
      </c>
      <c r="H366" s="25">
        <f>40+6-41</f>
        <v>5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3">
        <v>5</v>
      </c>
      <c r="S366" s="16">
        <f t="shared" si="141"/>
        <v>0</v>
      </c>
    </row>
    <row r="367" spans="1:19" s="1" customFormat="1" ht="45">
      <c r="A367" s="56"/>
      <c r="B367" s="41" t="s">
        <v>248</v>
      </c>
      <c r="C367" s="32" t="s">
        <v>45</v>
      </c>
      <c r="D367" s="32" t="s">
        <v>27</v>
      </c>
      <c r="E367" s="32" t="s">
        <v>26</v>
      </c>
      <c r="F367" s="42" t="s">
        <v>387</v>
      </c>
      <c r="G367" s="32" t="s">
        <v>60</v>
      </c>
      <c r="H367" s="25">
        <f>1960+994+3000+1932.7+41</f>
        <v>7927.7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3">
        <v>7927.7</v>
      </c>
      <c r="S367" s="16">
        <f t="shared" si="141"/>
        <v>0</v>
      </c>
    </row>
    <row r="368" spans="1:19" s="1" customFormat="1" ht="39" customHeight="1">
      <c r="A368" s="56"/>
      <c r="B368" s="41" t="s">
        <v>250</v>
      </c>
      <c r="C368" s="32" t="s">
        <v>45</v>
      </c>
      <c r="D368" s="32" t="s">
        <v>27</v>
      </c>
      <c r="E368" s="32" t="s">
        <v>26</v>
      </c>
      <c r="F368" s="42" t="s">
        <v>252</v>
      </c>
      <c r="G368" s="32" t="s">
        <v>60</v>
      </c>
      <c r="H368" s="25">
        <f>4408.1+50-50+25.9+394.1</f>
        <v>4828.1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3">
        <v>4828.1</v>
      </c>
      <c r="S368" s="16">
        <f t="shared" si="141"/>
        <v>0</v>
      </c>
    </row>
    <row r="369" spans="1:19" s="1" customFormat="1" ht="59.25" customHeight="1">
      <c r="A369" s="56"/>
      <c r="B369" s="41" t="s">
        <v>352</v>
      </c>
      <c r="C369" s="32" t="s">
        <v>45</v>
      </c>
      <c r="D369" s="32" t="s">
        <v>27</v>
      </c>
      <c r="E369" s="32" t="s">
        <v>26</v>
      </c>
      <c r="F369" s="42" t="s">
        <v>350</v>
      </c>
      <c r="G369" s="32" t="s">
        <v>58</v>
      </c>
      <c r="H369" s="25">
        <v>10.6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25">
        <v>8.4</v>
      </c>
      <c r="S369" s="16">
        <f t="shared" si="141"/>
        <v>-2.1999999999999993</v>
      </c>
    </row>
    <row r="370" spans="1:19" s="1" customFormat="1" ht="48" customHeight="1">
      <c r="A370" s="56"/>
      <c r="B370" s="41" t="s">
        <v>351</v>
      </c>
      <c r="C370" s="32" t="s">
        <v>45</v>
      </c>
      <c r="D370" s="32" t="s">
        <v>27</v>
      </c>
      <c r="E370" s="32" t="s">
        <v>26</v>
      </c>
      <c r="F370" s="42" t="s">
        <v>350</v>
      </c>
      <c r="G370" s="32" t="s">
        <v>60</v>
      </c>
      <c r="H370" s="25">
        <f>1065.6+645.7</f>
        <v>1711.3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25">
        <v>1688</v>
      </c>
      <c r="S370" s="16">
        <f t="shared" si="141"/>
        <v>-23.299999999999955</v>
      </c>
    </row>
    <row r="371" spans="1:19" s="1" customFormat="1" ht="15.75" customHeight="1">
      <c r="A371" s="56"/>
      <c r="B371" s="38" t="s">
        <v>10</v>
      </c>
      <c r="C371" s="39" t="s">
        <v>45</v>
      </c>
      <c r="D371" s="39" t="s">
        <v>27</v>
      </c>
      <c r="E371" s="39" t="s">
        <v>30</v>
      </c>
      <c r="F371" s="40"/>
      <c r="G371" s="39"/>
      <c r="H371" s="22">
        <f>H372</f>
        <v>12</v>
      </c>
      <c r="I371" s="22">
        <f aca="true" t="shared" si="151" ref="I371:R372">I372</f>
        <v>0</v>
      </c>
      <c r="J371" s="22">
        <f t="shared" si="151"/>
        <v>0</v>
      </c>
      <c r="K371" s="22">
        <f t="shared" si="151"/>
        <v>0</v>
      </c>
      <c r="L371" s="22">
        <f t="shared" si="151"/>
        <v>0</v>
      </c>
      <c r="M371" s="22">
        <f t="shared" si="151"/>
        <v>0</v>
      </c>
      <c r="N371" s="22">
        <f t="shared" si="151"/>
        <v>0</v>
      </c>
      <c r="O371" s="22">
        <f t="shared" si="151"/>
        <v>0</v>
      </c>
      <c r="P371" s="22">
        <f t="shared" si="151"/>
        <v>0</v>
      </c>
      <c r="Q371" s="22">
        <f t="shared" si="151"/>
        <v>0</v>
      </c>
      <c r="R371" s="22">
        <f t="shared" si="151"/>
        <v>0</v>
      </c>
      <c r="S371" s="16">
        <f t="shared" si="141"/>
        <v>-12</v>
      </c>
    </row>
    <row r="372" spans="1:19" s="1" customFormat="1" ht="30.75" customHeight="1">
      <c r="A372" s="56"/>
      <c r="B372" s="41" t="s">
        <v>235</v>
      </c>
      <c r="C372" s="32" t="s">
        <v>45</v>
      </c>
      <c r="D372" s="32" t="s">
        <v>27</v>
      </c>
      <c r="E372" s="32" t="s">
        <v>30</v>
      </c>
      <c r="F372" s="42" t="s">
        <v>25</v>
      </c>
      <c r="G372" s="32"/>
      <c r="H372" s="25">
        <f>H373</f>
        <v>12</v>
      </c>
      <c r="I372" s="25">
        <f t="shared" si="151"/>
        <v>0</v>
      </c>
      <c r="J372" s="25">
        <f t="shared" si="151"/>
        <v>0</v>
      </c>
      <c r="K372" s="25">
        <f t="shared" si="151"/>
        <v>0</v>
      </c>
      <c r="L372" s="25">
        <f t="shared" si="151"/>
        <v>0</v>
      </c>
      <c r="M372" s="25">
        <f t="shared" si="151"/>
        <v>0</v>
      </c>
      <c r="N372" s="25">
        <f t="shared" si="151"/>
        <v>0</v>
      </c>
      <c r="O372" s="25">
        <f t="shared" si="151"/>
        <v>0</v>
      </c>
      <c r="P372" s="25">
        <f t="shared" si="151"/>
        <v>0</v>
      </c>
      <c r="Q372" s="25">
        <f t="shared" si="151"/>
        <v>0</v>
      </c>
      <c r="R372" s="25">
        <f t="shared" si="151"/>
        <v>0</v>
      </c>
      <c r="S372" s="16">
        <f t="shared" si="141"/>
        <v>-12</v>
      </c>
    </row>
    <row r="373" spans="1:19" s="1" customFormat="1" ht="30" customHeight="1">
      <c r="A373" s="56"/>
      <c r="B373" s="41" t="s">
        <v>236</v>
      </c>
      <c r="C373" s="32" t="s">
        <v>45</v>
      </c>
      <c r="D373" s="32" t="s">
        <v>27</v>
      </c>
      <c r="E373" s="32" t="s">
        <v>30</v>
      </c>
      <c r="F373" s="42" t="s">
        <v>237</v>
      </c>
      <c r="G373" s="32"/>
      <c r="H373" s="25">
        <f>H374</f>
        <v>12</v>
      </c>
      <c r="I373" s="25">
        <f aca="true" t="shared" si="152" ref="I373:R373">I375</f>
        <v>0</v>
      </c>
      <c r="J373" s="25">
        <f t="shared" si="152"/>
        <v>0</v>
      </c>
      <c r="K373" s="25">
        <f t="shared" si="152"/>
        <v>0</v>
      </c>
      <c r="L373" s="25">
        <f t="shared" si="152"/>
        <v>0</v>
      </c>
      <c r="M373" s="25">
        <f t="shared" si="152"/>
        <v>0</v>
      </c>
      <c r="N373" s="25">
        <f t="shared" si="152"/>
        <v>0</v>
      </c>
      <c r="O373" s="25">
        <f t="shared" si="152"/>
        <v>0</v>
      </c>
      <c r="P373" s="25">
        <f t="shared" si="152"/>
        <v>0</v>
      </c>
      <c r="Q373" s="25">
        <f t="shared" si="152"/>
        <v>0</v>
      </c>
      <c r="R373" s="25">
        <f t="shared" si="152"/>
        <v>0</v>
      </c>
      <c r="S373" s="16">
        <f t="shared" si="141"/>
        <v>-12</v>
      </c>
    </row>
    <row r="374" spans="1:19" s="1" customFormat="1" ht="30" customHeight="1">
      <c r="A374" s="56"/>
      <c r="B374" s="41" t="s">
        <v>336</v>
      </c>
      <c r="C374" s="32" t="s">
        <v>45</v>
      </c>
      <c r="D374" s="32" t="s">
        <v>27</v>
      </c>
      <c r="E374" s="32" t="s">
        <v>30</v>
      </c>
      <c r="F374" s="42" t="s">
        <v>238</v>
      </c>
      <c r="G374" s="32"/>
      <c r="H374" s="25">
        <f>H375</f>
        <v>12</v>
      </c>
      <c r="I374" s="25" t="e">
        <f aca="true" t="shared" si="153" ref="I374:R374">I376+I379+I380+I381+I375+I377+I378</f>
        <v>#REF!</v>
      </c>
      <c r="J374" s="25" t="e">
        <f t="shared" si="153"/>
        <v>#REF!</v>
      </c>
      <c r="K374" s="25" t="e">
        <f t="shared" si="153"/>
        <v>#REF!</v>
      </c>
      <c r="L374" s="25" t="e">
        <f t="shared" si="153"/>
        <v>#REF!</v>
      </c>
      <c r="M374" s="25" t="e">
        <f t="shared" si="153"/>
        <v>#REF!</v>
      </c>
      <c r="N374" s="25" t="e">
        <f t="shared" si="153"/>
        <v>#REF!</v>
      </c>
      <c r="O374" s="25" t="e">
        <f t="shared" si="153"/>
        <v>#REF!</v>
      </c>
      <c r="P374" s="25" t="e">
        <f t="shared" si="153"/>
        <v>#REF!</v>
      </c>
      <c r="Q374" s="25" t="e">
        <f t="shared" si="153"/>
        <v>#REF!</v>
      </c>
      <c r="R374" s="25">
        <f t="shared" si="153"/>
        <v>31858.1</v>
      </c>
      <c r="S374" s="16">
        <f t="shared" si="141"/>
        <v>31846.1</v>
      </c>
    </row>
    <row r="375" spans="1:19" s="1" customFormat="1" ht="45" customHeight="1">
      <c r="A375" s="56"/>
      <c r="B375" s="108" t="s">
        <v>466</v>
      </c>
      <c r="C375" s="32" t="s">
        <v>46</v>
      </c>
      <c r="D375" s="32" t="s">
        <v>27</v>
      </c>
      <c r="E375" s="32" t="s">
        <v>30</v>
      </c>
      <c r="F375" s="42" t="s">
        <v>462</v>
      </c>
      <c r="G375" s="32" t="s">
        <v>60</v>
      </c>
      <c r="H375" s="25">
        <f>12</f>
        <v>12</v>
      </c>
      <c r="I375" s="33"/>
      <c r="J375" s="33"/>
      <c r="K375" s="33"/>
      <c r="L375" s="33"/>
      <c r="M375" s="33"/>
      <c r="N375" s="33"/>
      <c r="O375" s="33"/>
      <c r="P375" s="33"/>
      <c r="Q375" s="33"/>
      <c r="R375" s="25"/>
      <c r="S375" s="16">
        <f t="shared" si="141"/>
        <v>-12</v>
      </c>
    </row>
    <row r="376" spans="1:19" s="2" customFormat="1" ht="15">
      <c r="A376" s="57"/>
      <c r="B376" s="38" t="s">
        <v>42</v>
      </c>
      <c r="C376" s="39" t="s">
        <v>45</v>
      </c>
      <c r="D376" s="39" t="s">
        <v>27</v>
      </c>
      <c r="E376" s="39" t="s">
        <v>30</v>
      </c>
      <c r="F376" s="40"/>
      <c r="G376" s="39"/>
      <c r="H376" s="22">
        <f>H377</f>
        <v>6376.3</v>
      </c>
      <c r="I376" s="22" t="e">
        <f aca="true" t="shared" si="154" ref="I376:R378">I377</f>
        <v>#REF!</v>
      </c>
      <c r="J376" s="22" t="e">
        <f t="shared" si="154"/>
        <v>#REF!</v>
      </c>
      <c r="K376" s="22" t="e">
        <f t="shared" si="154"/>
        <v>#REF!</v>
      </c>
      <c r="L376" s="22" t="e">
        <f t="shared" si="154"/>
        <v>#REF!</v>
      </c>
      <c r="M376" s="22" t="e">
        <f t="shared" si="154"/>
        <v>#REF!</v>
      </c>
      <c r="N376" s="22" t="e">
        <f t="shared" si="154"/>
        <v>#REF!</v>
      </c>
      <c r="O376" s="22" t="e">
        <f t="shared" si="154"/>
        <v>#REF!</v>
      </c>
      <c r="P376" s="22" t="e">
        <f t="shared" si="154"/>
        <v>#REF!</v>
      </c>
      <c r="Q376" s="22" t="e">
        <f t="shared" si="154"/>
        <v>#REF!</v>
      </c>
      <c r="R376" s="22">
        <f t="shared" si="154"/>
        <v>6372.9</v>
      </c>
      <c r="S376" s="16">
        <f t="shared" si="141"/>
        <v>-3.4000000000005457</v>
      </c>
    </row>
    <row r="377" spans="1:19" s="2" customFormat="1" ht="30">
      <c r="A377" s="57"/>
      <c r="B377" s="41" t="s">
        <v>235</v>
      </c>
      <c r="C377" s="32" t="s">
        <v>45</v>
      </c>
      <c r="D377" s="32" t="s">
        <v>27</v>
      </c>
      <c r="E377" s="32" t="s">
        <v>30</v>
      </c>
      <c r="F377" s="42" t="s">
        <v>25</v>
      </c>
      <c r="G377" s="32"/>
      <c r="H377" s="25">
        <f>H378</f>
        <v>6376.3</v>
      </c>
      <c r="I377" s="25" t="e">
        <f t="shared" si="154"/>
        <v>#REF!</v>
      </c>
      <c r="J377" s="25" t="e">
        <f t="shared" si="154"/>
        <v>#REF!</v>
      </c>
      <c r="K377" s="25" t="e">
        <f t="shared" si="154"/>
        <v>#REF!</v>
      </c>
      <c r="L377" s="25" t="e">
        <f t="shared" si="154"/>
        <v>#REF!</v>
      </c>
      <c r="M377" s="25" t="e">
        <f t="shared" si="154"/>
        <v>#REF!</v>
      </c>
      <c r="N377" s="25" t="e">
        <f t="shared" si="154"/>
        <v>#REF!</v>
      </c>
      <c r="O377" s="25" t="e">
        <f t="shared" si="154"/>
        <v>#REF!</v>
      </c>
      <c r="P377" s="25" t="e">
        <f t="shared" si="154"/>
        <v>#REF!</v>
      </c>
      <c r="Q377" s="25" t="e">
        <f t="shared" si="154"/>
        <v>#REF!</v>
      </c>
      <c r="R377" s="25">
        <f t="shared" si="154"/>
        <v>6372.9</v>
      </c>
      <c r="S377" s="16">
        <f t="shared" si="141"/>
        <v>-3.4000000000005457</v>
      </c>
    </row>
    <row r="378" spans="1:19" s="2" customFormat="1" ht="45">
      <c r="A378" s="57"/>
      <c r="B378" s="41" t="s">
        <v>338</v>
      </c>
      <c r="C378" s="32" t="s">
        <v>45</v>
      </c>
      <c r="D378" s="32" t="s">
        <v>27</v>
      </c>
      <c r="E378" s="32" t="s">
        <v>30</v>
      </c>
      <c r="F378" s="42" t="s">
        <v>253</v>
      </c>
      <c r="G378" s="32"/>
      <c r="H378" s="25">
        <f>H379</f>
        <v>6376.3</v>
      </c>
      <c r="I378" s="25" t="e">
        <f t="shared" si="154"/>
        <v>#REF!</v>
      </c>
      <c r="J378" s="25" t="e">
        <f t="shared" si="154"/>
        <v>#REF!</v>
      </c>
      <c r="K378" s="25" t="e">
        <f t="shared" si="154"/>
        <v>#REF!</v>
      </c>
      <c r="L378" s="25" t="e">
        <f t="shared" si="154"/>
        <v>#REF!</v>
      </c>
      <c r="M378" s="25" t="e">
        <f t="shared" si="154"/>
        <v>#REF!</v>
      </c>
      <c r="N378" s="25" t="e">
        <f t="shared" si="154"/>
        <v>#REF!</v>
      </c>
      <c r="O378" s="25" t="e">
        <f t="shared" si="154"/>
        <v>#REF!</v>
      </c>
      <c r="P378" s="25" t="e">
        <f t="shared" si="154"/>
        <v>#REF!</v>
      </c>
      <c r="Q378" s="25" t="e">
        <f t="shared" si="154"/>
        <v>#REF!</v>
      </c>
      <c r="R378" s="25">
        <f t="shared" si="154"/>
        <v>6372.9</v>
      </c>
      <c r="S378" s="16">
        <f t="shared" si="141"/>
        <v>-3.4000000000005457</v>
      </c>
    </row>
    <row r="379" spans="1:19" s="2" customFormat="1" ht="30" customHeight="1">
      <c r="A379" s="57"/>
      <c r="B379" s="41" t="s">
        <v>337</v>
      </c>
      <c r="C379" s="32" t="s">
        <v>45</v>
      </c>
      <c r="D379" s="32" t="s">
        <v>27</v>
      </c>
      <c r="E379" s="32" t="s">
        <v>30</v>
      </c>
      <c r="F379" s="42" t="s">
        <v>254</v>
      </c>
      <c r="G379" s="32"/>
      <c r="H379" s="25">
        <f>H380+H381+H382</f>
        <v>6376.3</v>
      </c>
      <c r="I379" s="25" t="e">
        <f aca="true" t="shared" si="155" ref="I379:R379">I380+I381+I382</f>
        <v>#REF!</v>
      </c>
      <c r="J379" s="25" t="e">
        <f t="shared" si="155"/>
        <v>#REF!</v>
      </c>
      <c r="K379" s="25" t="e">
        <f t="shared" si="155"/>
        <v>#REF!</v>
      </c>
      <c r="L379" s="25" t="e">
        <f t="shared" si="155"/>
        <v>#REF!</v>
      </c>
      <c r="M379" s="25" t="e">
        <f t="shared" si="155"/>
        <v>#REF!</v>
      </c>
      <c r="N379" s="25" t="e">
        <f t="shared" si="155"/>
        <v>#REF!</v>
      </c>
      <c r="O379" s="25" t="e">
        <f t="shared" si="155"/>
        <v>#REF!</v>
      </c>
      <c r="P379" s="25" t="e">
        <f t="shared" si="155"/>
        <v>#REF!</v>
      </c>
      <c r="Q379" s="25" t="e">
        <f t="shared" si="155"/>
        <v>#REF!</v>
      </c>
      <c r="R379" s="25">
        <f t="shared" si="155"/>
        <v>6372.9</v>
      </c>
      <c r="S379" s="16">
        <f t="shared" si="141"/>
        <v>-3.4000000000005457</v>
      </c>
    </row>
    <row r="380" spans="1:19" s="1" customFormat="1" ht="90" customHeight="1">
      <c r="A380" s="56"/>
      <c r="B380" s="11" t="s">
        <v>93</v>
      </c>
      <c r="C380" s="23" t="s">
        <v>45</v>
      </c>
      <c r="D380" s="23" t="s">
        <v>27</v>
      </c>
      <c r="E380" s="23" t="s">
        <v>30</v>
      </c>
      <c r="F380" s="24" t="s">
        <v>287</v>
      </c>
      <c r="G380" s="23" t="s">
        <v>59</v>
      </c>
      <c r="H380" s="25">
        <v>6121.5</v>
      </c>
      <c r="I380" s="26" t="e">
        <f aca="true" t="shared" si="156" ref="I380:Q380">I381</f>
        <v>#REF!</v>
      </c>
      <c r="J380" s="27" t="e">
        <f t="shared" si="156"/>
        <v>#REF!</v>
      </c>
      <c r="K380" s="27" t="e">
        <f t="shared" si="156"/>
        <v>#REF!</v>
      </c>
      <c r="L380" s="27" t="e">
        <f t="shared" si="156"/>
        <v>#REF!</v>
      </c>
      <c r="M380" s="27" t="e">
        <f t="shared" si="156"/>
        <v>#REF!</v>
      </c>
      <c r="N380" s="27" t="e">
        <f t="shared" si="156"/>
        <v>#REF!</v>
      </c>
      <c r="O380" s="27" t="e">
        <f t="shared" si="156"/>
        <v>#REF!</v>
      </c>
      <c r="P380" s="27" t="e">
        <f t="shared" si="156"/>
        <v>#REF!</v>
      </c>
      <c r="Q380" s="27" t="e">
        <f t="shared" si="156"/>
        <v>#REF!</v>
      </c>
      <c r="R380" s="13">
        <v>6121.5</v>
      </c>
      <c r="S380" s="16">
        <f t="shared" si="141"/>
        <v>0</v>
      </c>
    </row>
    <row r="381" spans="1:19" s="1" customFormat="1" ht="61.5" customHeight="1">
      <c r="A381" s="56"/>
      <c r="B381" s="11" t="s">
        <v>94</v>
      </c>
      <c r="C381" s="23" t="s">
        <v>45</v>
      </c>
      <c r="D381" s="23" t="s">
        <v>27</v>
      </c>
      <c r="E381" s="23" t="s">
        <v>30</v>
      </c>
      <c r="F381" s="24" t="s">
        <v>287</v>
      </c>
      <c r="G381" s="23" t="s">
        <v>58</v>
      </c>
      <c r="H381" s="25">
        <f>180+65</f>
        <v>245</v>
      </c>
      <c r="I381" s="26" t="e">
        <f>I382+#REF!+#REF!</f>
        <v>#REF!</v>
      </c>
      <c r="J381" s="27" t="e">
        <f>J382+#REF!+#REF!</f>
        <v>#REF!</v>
      </c>
      <c r="K381" s="27" t="e">
        <f>K382+#REF!+#REF!</f>
        <v>#REF!</v>
      </c>
      <c r="L381" s="27" t="e">
        <f>L382+#REF!+#REF!</f>
        <v>#REF!</v>
      </c>
      <c r="M381" s="27" t="e">
        <f>M382+#REF!+#REF!</f>
        <v>#REF!</v>
      </c>
      <c r="N381" s="27" t="e">
        <f>N382+#REF!+#REF!</f>
        <v>#REF!</v>
      </c>
      <c r="O381" s="27" t="e">
        <f>O382+#REF!+#REF!</f>
        <v>#REF!</v>
      </c>
      <c r="P381" s="27" t="e">
        <f>P382+#REF!+#REF!</f>
        <v>#REF!</v>
      </c>
      <c r="Q381" s="27" t="e">
        <f>Q382+#REF!+#REF!</f>
        <v>#REF!</v>
      </c>
      <c r="R381" s="13">
        <v>245</v>
      </c>
      <c r="S381" s="16">
        <f t="shared" si="141"/>
        <v>0</v>
      </c>
    </row>
    <row r="382" spans="1:19" s="1" customFormat="1" ht="48" customHeight="1">
      <c r="A382" s="56"/>
      <c r="B382" s="11" t="s">
        <v>84</v>
      </c>
      <c r="C382" s="23" t="s">
        <v>45</v>
      </c>
      <c r="D382" s="23" t="s">
        <v>27</v>
      </c>
      <c r="E382" s="23" t="s">
        <v>30</v>
      </c>
      <c r="F382" s="24" t="s">
        <v>287</v>
      </c>
      <c r="G382" s="23" t="s">
        <v>54</v>
      </c>
      <c r="H382" s="25">
        <v>9.8</v>
      </c>
      <c r="I382" s="26" t="e">
        <f>#REF!+#REF!</f>
        <v>#REF!</v>
      </c>
      <c r="J382" s="27" t="e">
        <f>#REF!+#REF!</f>
        <v>#REF!</v>
      </c>
      <c r="K382" s="27" t="e">
        <f>#REF!+#REF!</f>
        <v>#REF!</v>
      </c>
      <c r="L382" s="27" t="e">
        <f>#REF!+#REF!</f>
        <v>#REF!</v>
      </c>
      <c r="M382" s="27" t="e">
        <f>#REF!+#REF!</f>
        <v>#REF!</v>
      </c>
      <c r="N382" s="27" t="e">
        <f>#REF!+#REF!</f>
        <v>#REF!</v>
      </c>
      <c r="O382" s="27" t="e">
        <f>#REF!+#REF!</f>
        <v>#REF!</v>
      </c>
      <c r="P382" s="27" t="e">
        <f>#REF!+#REF!</f>
        <v>#REF!</v>
      </c>
      <c r="Q382" s="27" t="e">
        <f>#REF!+#REF!</f>
        <v>#REF!</v>
      </c>
      <c r="R382" s="13">
        <v>6.4</v>
      </c>
      <c r="S382" s="16">
        <f t="shared" si="141"/>
        <v>-3.4000000000000004</v>
      </c>
    </row>
    <row r="383" spans="1:19" s="1" customFormat="1" ht="30" customHeight="1">
      <c r="A383" s="56"/>
      <c r="B383" s="15" t="s">
        <v>51</v>
      </c>
      <c r="C383" s="17" t="s">
        <v>46</v>
      </c>
      <c r="D383" s="17"/>
      <c r="E383" s="17"/>
      <c r="F383" s="18"/>
      <c r="G383" s="17"/>
      <c r="H383" s="16">
        <f aca="true" t="shared" si="157" ref="H383:R383">H388+H399+H405+H384</f>
        <v>28995.9</v>
      </c>
      <c r="I383" s="16" t="e">
        <f t="shared" si="157"/>
        <v>#REF!</v>
      </c>
      <c r="J383" s="16" t="e">
        <f t="shared" si="157"/>
        <v>#REF!</v>
      </c>
      <c r="K383" s="16" t="e">
        <f t="shared" si="157"/>
        <v>#REF!</v>
      </c>
      <c r="L383" s="16" t="e">
        <f t="shared" si="157"/>
        <v>#REF!</v>
      </c>
      <c r="M383" s="16" t="e">
        <f t="shared" si="157"/>
        <v>#REF!</v>
      </c>
      <c r="N383" s="16" t="e">
        <f t="shared" si="157"/>
        <v>#REF!</v>
      </c>
      <c r="O383" s="16" t="e">
        <f t="shared" si="157"/>
        <v>#REF!</v>
      </c>
      <c r="P383" s="16" t="e">
        <f t="shared" si="157"/>
        <v>#REF!</v>
      </c>
      <c r="Q383" s="16" t="e">
        <f t="shared" si="157"/>
        <v>#REF!</v>
      </c>
      <c r="R383" s="16">
        <f t="shared" si="157"/>
        <v>27461.4</v>
      </c>
      <c r="S383" s="16">
        <f t="shared" si="141"/>
        <v>-1534.5</v>
      </c>
    </row>
    <row r="384" spans="1:19" s="1" customFormat="1" ht="19.5" customHeight="1">
      <c r="A384" s="56"/>
      <c r="B384" s="19" t="s">
        <v>371</v>
      </c>
      <c r="C384" s="20" t="s">
        <v>46</v>
      </c>
      <c r="D384" s="20" t="s">
        <v>26</v>
      </c>
      <c r="E384" s="20" t="s">
        <v>25</v>
      </c>
      <c r="F384" s="21"/>
      <c r="G384" s="20"/>
      <c r="H384" s="22">
        <f aca="true" t="shared" si="158" ref="H384:R386">H385</f>
        <v>40.4</v>
      </c>
      <c r="I384" s="22">
        <f t="shared" si="158"/>
        <v>0</v>
      </c>
      <c r="J384" s="22">
        <f t="shared" si="158"/>
        <v>0</v>
      </c>
      <c r="K384" s="22">
        <f t="shared" si="158"/>
        <v>0</v>
      </c>
      <c r="L384" s="22">
        <f t="shared" si="158"/>
        <v>0</v>
      </c>
      <c r="M384" s="22">
        <f t="shared" si="158"/>
        <v>0</v>
      </c>
      <c r="N384" s="22">
        <f t="shared" si="158"/>
        <v>0</v>
      </c>
      <c r="O384" s="22">
        <f t="shared" si="158"/>
        <v>0</v>
      </c>
      <c r="P384" s="22">
        <f t="shared" si="158"/>
        <v>0</v>
      </c>
      <c r="Q384" s="22">
        <f t="shared" si="158"/>
        <v>0</v>
      </c>
      <c r="R384" s="22">
        <f t="shared" si="158"/>
        <v>40.2</v>
      </c>
      <c r="S384" s="16">
        <f t="shared" si="141"/>
        <v>-0.19999999999999574</v>
      </c>
    </row>
    <row r="385" spans="1:19" s="1" customFormat="1" ht="29.25" customHeight="1">
      <c r="A385" s="56"/>
      <c r="B385" s="11" t="s">
        <v>90</v>
      </c>
      <c r="C385" s="23" t="s">
        <v>46</v>
      </c>
      <c r="D385" s="23" t="s">
        <v>26</v>
      </c>
      <c r="E385" s="23" t="s">
        <v>25</v>
      </c>
      <c r="F385" s="24" t="s">
        <v>87</v>
      </c>
      <c r="G385" s="17"/>
      <c r="H385" s="25">
        <f t="shared" si="158"/>
        <v>40.4</v>
      </c>
      <c r="I385" s="25">
        <f t="shared" si="158"/>
        <v>0</v>
      </c>
      <c r="J385" s="25">
        <f t="shared" si="158"/>
        <v>0</v>
      </c>
      <c r="K385" s="25">
        <f t="shared" si="158"/>
        <v>0</v>
      </c>
      <c r="L385" s="25">
        <f t="shared" si="158"/>
        <v>0</v>
      </c>
      <c r="M385" s="25">
        <f t="shared" si="158"/>
        <v>0</v>
      </c>
      <c r="N385" s="25">
        <f t="shared" si="158"/>
        <v>0</v>
      </c>
      <c r="O385" s="25">
        <f t="shared" si="158"/>
        <v>0</v>
      </c>
      <c r="P385" s="25">
        <f t="shared" si="158"/>
        <v>0</v>
      </c>
      <c r="Q385" s="25">
        <f t="shared" si="158"/>
        <v>0</v>
      </c>
      <c r="R385" s="25">
        <f t="shared" si="158"/>
        <v>40.2</v>
      </c>
      <c r="S385" s="16">
        <f t="shared" si="141"/>
        <v>-0.19999999999999574</v>
      </c>
    </row>
    <row r="386" spans="1:19" s="1" customFormat="1" ht="24" customHeight="1">
      <c r="A386" s="56"/>
      <c r="B386" s="11" t="s">
        <v>78</v>
      </c>
      <c r="C386" s="23" t="s">
        <v>46</v>
      </c>
      <c r="D386" s="23" t="s">
        <v>26</v>
      </c>
      <c r="E386" s="23" t="s">
        <v>25</v>
      </c>
      <c r="F386" s="24" t="s">
        <v>92</v>
      </c>
      <c r="G386" s="17"/>
      <c r="H386" s="25">
        <f t="shared" si="158"/>
        <v>40.4</v>
      </c>
      <c r="I386" s="25">
        <f t="shared" si="158"/>
        <v>0</v>
      </c>
      <c r="J386" s="25">
        <f t="shared" si="158"/>
        <v>0</v>
      </c>
      <c r="K386" s="25">
        <f t="shared" si="158"/>
        <v>0</v>
      </c>
      <c r="L386" s="25">
        <f t="shared" si="158"/>
        <v>0</v>
      </c>
      <c r="M386" s="25">
        <f t="shared" si="158"/>
        <v>0</v>
      </c>
      <c r="N386" s="25">
        <f t="shared" si="158"/>
        <v>0</v>
      </c>
      <c r="O386" s="25">
        <f t="shared" si="158"/>
        <v>0</v>
      </c>
      <c r="P386" s="25">
        <f t="shared" si="158"/>
        <v>0</v>
      </c>
      <c r="Q386" s="25">
        <f t="shared" si="158"/>
        <v>0</v>
      </c>
      <c r="R386" s="25">
        <f t="shared" si="158"/>
        <v>40.2</v>
      </c>
      <c r="S386" s="16">
        <f t="shared" si="141"/>
        <v>-0.19999999999999574</v>
      </c>
    </row>
    <row r="387" spans="1:19" s="1" customFormat="1" ht="30" customHeight="1">
      <c r="A387" s="56"/>
      <c r="B387" s="11" t="s">
        <v>375</v>
      </c>
      <c r="C387" s="23" t="s">
        <v>46</v>
      </c>
      <c r="D387" s="23" t="s">
        <v>26</v>
      </c>
      <c r="E387" s="23" t="s">
        <v>25</v>
      </c>
      <c r="F387" s="24" t="s">
        <v>372</v>
      </c>
      <c r="G387" s="23" t="s">
        <v>2</v>
      </c>
      <c r="H387" s="25">
        <v>40.4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>
        <v>40.2</v>
      </c>
      <c r="S387" s="16">
        <f t="shared" si="141"/>
        <v>-0.19999999999999574</v>
      </c>
    </row>
    <row r="388" spans="1:19" s="1" customFormat="1" ht="15">
      <c r="A388" s="56"/>
      <c r="B388" s="15" t="s">
        <v>63</v>
      </c>
      <c r="C388" s="17" t="s">
        <v>46</v>
      </c>
      <c r="D388" s="17" t="s">
        <v>25</v>
      </c>
      <c r="E388" s="17"/>
      <c r="F388" s="18"/>
      <c r="G388" s="17"/>
      <c r="H388" s="16">
        <f aca="true" t="shared" si="159" ref="H388:R389">H389</f>
        <v>3892.2999999999997</v>
      </c>
      <c r="I388" s="16" t="e">
        <f t="shared" si="159"/>
        <v>#REF!</v>
      </c>
      <c r="J388" s="16" t="e">
        <f t="shared" si="159"/>
        <v>#REF!</v>
      </c>
      <c r="K388" s="16" t="e">
        <f t="shared" si="159"/>
        <v>#REF!</v>
      </c>
      <c r="L388" s="16" t="e">
        <f t="shared" si="159"/>
        <v>#REF!</v>
      </c>
      <c r="M388" s="16" t="e">
        <f t="shared" si="159"/>
        <v>#REF!</v>
      </c>
      <c r="N388" s="16" t="e">
        <f t="shared" si="159"/>
        <v>#REF!</v>
      </c>
      <c r="O388" s="16" t="e">
        <f t="shared" si="159"/>
        <v>#REF!</v>
      </c>
      <c r="P388" s="16" t="e">
        <f t="shared" si="159"/>
        <v>#REF!</v>
      </c>
      <c r="Q388" s="16" t="e">
        <f t="shared" si="159"/>
        <v>#REF!</v>
      </c>
      <c r="R388" s="16">
        <f t="shared" si="159"/>
        <v>3891.4</v>
      </c>
      <c r="S388" s="16">
        <f t="shared" si="141"/>
        <v>-0.8999999999996362</v>
      </c>
    </row>
    <row r="389" spans="1:19" s="2" customFormat="1" ht="45">
      <c r="A389" s="57"/>
      <c r="B389" s="19" t="s">
        <v>47</v>
      </c>
      <c r="C389" s="20" t="s">
        <v>46</v>
      </c>
      <c r="D389" s="20" t="s">
        <v>25</v>
      </c>
      <c r="E389" s="20" t="s">
        <v>30</v>
      </c>
      <c r="F389" s="29"/>
      <c r="G389" s="30"/>
      <c r="H389" s="22">
        <f t="shared" si="159"/>
        <v>3892.2999999999997</v>
      </c>
      <c r="I389" s="22" t="e">
        <f t="shared" si="159"/>
        <v>#REF!</v>
      </c>
      <c r="J389" s="22" t="e">
        <f t="shared" si="159"/>
        <v>#REF!</v>
      </c>
      <c r="K389" s="22" t="e">
        <f t="shared" si="159"/>
        <v>#REF!</v>
      </c>
      <c r="L389" s="22" t="e">
        <f t="shared" si="159"/>
        <v>#REF!</v>
      </c>
      <c r="M389" s="22" t="e">
        <f t="shared" si="159"/>
        <v>#REF!</v>
      </c>
      <c r="N389" s="22" t="e">
        <f t="shared" si="159"/>
        <v>#REF!</v>
      </c>
      <c r="O389" s="22" t="e">
        <f t="shared" si="159"/>
        <v>#REF!</v>
      </c>
      <c r="P389" s="22" t="e">
        <f t="shared" si="159"/>
        <v>#REF!</v>
      </c>
      <c r="Q389" s="22" t="e">
        <f t="shared" si="159"/>
        <v>#REF!</v>
      </c>
      <c r="R389" s="22">
        <f t="shared" si="159"/>
        <v>3891.4</v>
      </c>
      <c r="S389" s="16">
        <f t="shared" si="141"/>
        <v>-0.8999999999996362</v>
      </c>
    </row>
    <row r="390" spans="1:19" s="1" customFormat="1" ht="30">
      <c r="A390" s="56"/>
      <c r="B390" s="11" t="s">
        <v>255</v>
      </c>
      <c r="C390" s="23" t="s">
        <v>46</v>
      </c>
      <c r="D390" s="23" t="s">
        <v>25</v>
      </c>
      <c r="E390" s="23" t="s">
        <v>30</v>
      </c>
      <c r="F390" s="24" t="s">
        <v>29</v>
      </c>
      <c r="G390" s="23"/>
      <c r="H390" s="25">
        <f>H394+H391</f>
        <v>3892.2999999999997</v>
      </c>
      <c r="I390" s="25" t="e">
        <f aca="true" t="shared" si="160" ref="I390:R390">I394+I391</f>
        <v>#REF!</v>
      </c>
      <c r="J390" s="25" t="e">
        <f t="shared" si="160"/>
        <v>#REF!</v>
      </c>
      <c r="K390" s="25" t="e">
        <f t="shared" si="160"/>
        <v>#REF!</v>
      </c>
      <c r="L390" s="25" t="e">
        <f t="shared" si="160"/>
        <v>#REF!</v>
      </c>
      <c r="M390" s="25" t="e">
        <f t="shared" si="160"/>
        <v>#REF!</v>
      </c>
      <c r="N390" s="25" t="e">
        <f t="shared" si="160"/>
        <v>#REF!</v>
      </c>
      <c r="O390" s="25" t="e">
        <f t="shared" si="160"/>
        <v>#REF!</v>
      </c>
      <c r="P390" s="25" t="e">
        <f t="shared" si="160"/>
        <v>#REF!</v>
      </c>
      <c r="Q390" s="25" t="e">
        <f t="shared" si="160"/>
        <v>#REF!</v>
      </c>
      <c r="R390" s="25">
        <f t="shared" si="160"/>
        <v>3891.4</v>
      </c>
      <c r="S390" s="16">
        <f t="shared" si="141"/>
        <v>-0.8999999999996362</v>
      </c>
    </row>
    <row r="391" spans="1:19" s="1" customFormat="1" ht="30">
      <c r="A391" s="56"/>
      <c r="B391" s="11" t="s">
        <v>359</v>
      </c>
      <c r="C391" s="23" t="s">
        <v>46</v>
      </c>
      <c r="D391" s="23" t="s">
        <v>25</v>
      </c>
      <c r="E391" s="23" t="s">
        <v>30</v>
      </c>
      <c r="F391" s="24" t="s">
        <v>358</v>
      </c>
      <c r="G391" s="23"/>
      <c r="H391" s="25">
        <f>H392</f>
        <v>180.1</v>
      </c>
      <c r="I391" s="25">
        <f aca="true" t="shared" si="161" ref="I391:R392">I392</f>
        <v>0</v>
      </c>
      <c r="J391" s="25">
        <f t="shared" si="161"/>
        <v>0</v>
      </c>
      <c r="K391" s="25">
        <f t="shared" si="161"/>
        <v>0</v>
      </c>
      <c r="L391" s="25">
        <f t="shared" si="161"/>
        <v>0</v>
      </c>
      <c r="M391" s="25">
        <f t="shared" si="161"/>
        <v>0</v>
      </c>
      <c r="N391" s="25">
        <f t="shared" si="161"/>
        <v>0</v>
      </c>
      <c r="O391" s="25">
        <f t="shared" si="161"/>
        <v>0</v>
      </c>
      <c r="P391" s="25">
        <f t="shared" si="161"/>
        <v>0</v>
      </c>
      <c r="Q391" s="25">
        <f t="shared" si="161"/>
        <v>0</v>
      </c>
      <c r="R391" s="25">
        <f t="shared" si="161"/>
        <v>179.9</v>
      </c>
      <c r="S391" s="16">
        <f t="shared" si="141"/>
        <v>-0.19999999999998863</v>
      </c>
    </row>
    <row r="392" spans="1:19" s="1" customFormat="1" ht="30">
      <c r="A392" s="56"/>
      <c r="B392" s="11" t="s">
        <v>360</v>
      </c>
      <c r="C392" s="23" t="s">
        <v>264</v>
      </c>
      <c r="D392" s="23" t="s">
        <v>25</v>
      </c>
      <c r="E392" s="23" t="s">
        <v>30</v>
      </c>
      <c r="F392" s="24" t="s">
        <v>361</v>
      </c>
      <c r="G392" s="23"/>
      <c r="H392" s="25">
        <f>H393</f>
        <v>180.1</v>
      </c>
      <c r="I392" s="25">
        <f t="shared" si="161"/>
        <v>0</v>
      </c>
      <c r="J392" s="25">
        <f t="shared" si="161"/>
        <v>0</v>
      </c>
      <c r="K392" s="25">
        <f t="shared" si="161"/>
        <v>0</v>
      </c>
      <c r="L392" s="25">
        <f t="shared" si="161"/>
        <v>0</v>
      </c>
      <c r="M392" s="25">
        <f t="shared" si="161"/>
        <v>0</v>
      </c>
      <c r="N392" s="25">
        <f t="shared" si="161"/>
        <v>0</v>
      </c>
      <c r="O392" s="25">
        <f t="shared" si="161"/>
        <v>0</v>
      </c>
      <c r="P392" s="25">
        <f t="shared" si="161"/>
        <v>0</v>
      </c>
      <c r="Q392" s="25">
        <f t="shared" si="161"/>
        <v>0</v>
      </c>
      <c r="R392" s="25">
        <f t="shared" si="161"/>
        <v>179.9</v>
      </c>
      <c r="S392" s="16">
        <f t="shared" si="141"/>
        <v>-0.19999999999998863</v>
      </c>
    </row>
    <row r="393" spans="1:19" s="1" customFormat="1" ht="60">
      <c r="A393" s="56"/>
      <c r="B393" s="11" t="s">
        <v>94</v>
      </c>
      <c r="C393" s="23" t="s">
        <v>46</v>
      </c>
      <c r="D393" s="23" t="s">
        <v>25</v>
      </c>
      <c r="E393" s="23" t="s">
        <v>30</v>
      </c>
      <c r="F393" s="24" t="s">
        <v>362</v>
      </c>
      <c r="G393" s="23" t="s">
        <v>58</v>
      </c>
      <c r="H393" s="25">
        <v>180.1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>
        <v>179.9</v>
      </c>
      <c r="S393" s="16">
        <f t="shared" si="141"/>
        <v>-0.19999999999998863</v>
      </c>
    </row>
    <row r="394" spans="1:19" s="1" customFormat="1" ht="18" customHeight="1">
      <c r="A394" s="56"/>
      <c r="B394" s="11" t="s">
        <v>260</v>
      </c>
      <c r="C394" s="23" t="s">
        <v>46</v>
      </c>
      <c r="D394" s="23" t="s">
        <v>25</v>
      </c>
      <c r="E394" s="23" t="s">
        <v>30</v>
      </c>
      <c r="F394" s="24" t="s">
        <v>256</v>
      </c>
      <c r="G394" s="23"/>
      <c r="H394" s="25">
        <f aca="true" t="shared" si="162" ref="H394:R394">H395</f>
        <v>3712.2</v>
      </c>
      <c r="I394" s="25" t="e">
        <f t="shared" si="162"/>
        <v>#REF!</v>
      </c>
      <c r="J394" s="25" t="e">
        <f t="shared" si="162"/>
        <v>#REF!</v>
      </c>
      <c r="K394" s="25" t="e">
        <f t="shared" si="162"/>
        <v>#REF!</v>
      </c>
      <c r="L394" s="25" t="e">
        <f t="shared" si="162"/>
        <v>#REF!</v>
      </c>
      <c r="M394" s="25" t="e">
        <f t="shared" si="162"/>
        <v>#REF!</v>
      </c>
      <c r="N394" s="25" t="e">
        <f t="shared" si="162"/>
        <v>#REF!</v>
      </c>
      <c r="O394" s="25" t="e">
        <f t="shared" si="162"/>
        <v>#REF!</v>
      </c>
      <c r="P394" s="25" t="e">
        <f t="shared" si="162"/>
        <v>#REF!</v>
      </c>
      <c r="Q394" s="25" t="e">
        <f t="shared" si="162"/>
        <v>#REF!</v>
      </c>
      <c r="R394" s="25">
        <f t="shared" si="162"/>
        <v>3711.5</v>
      </c>
      <c r="S394" s="16">
        <f aca="true" t="shared" si="163" ref="S394:S429">R394-H394</f>
        <v>-0.6999999999998181</v>
      </c>
    </row>
    <row r="395" spans="1:19" s="1" customFormat="1" ht="32.25" customHeight="1">
      <c r="A395" s="56"/>
      <c r="B395" s="11" t="s">
        <v>257</v>
      </c>
      <c r="C395" s="23" t="s">
        <v>46</v>
      </c>
      <c r="D395" s="23" t="s">
        <v>25</v>
      </c>
      <c r="E395" s="23" t="s">
        <v>30</v>
      </c>
      <c r="F395" s="24" t="s">
        <v>258</v>
      </c>
      <c r="G395" s="23"/>
      <c r="H395" s="25">
        <f aca="true" t="shared" si="164" ref="H395:R395">H396+H397+H398</f>
        <v>3712.2</v>
      </c>
      <c r="I395" s="25" t="e">
        <f t="shared" si="164"/>
        <v>#REF!</v>
      </c>
      <c r="J395" s="25" t="e">
        <f t="shared" si="164"/>
        <v>#REF!</v>
      </c>
      <c r="K395" s="25" t="e">
        <f t="shared" si="164"/>
        <v>#REF!</v>
      </c>
      <c r="L395" s="25" t="e">
        <f t="shared" si="164"/>
        <v>#REF!</v>
      </c>
      <c r="M395" s="25" t="e">
        <f t="shared" si="164"/>
        <v>#REF!</v>
      </c>
      <c r="N395" s="25" t="e">
        <f t="shared" si="164"/>
        <v>#REF!</v>
      </c>
      <c r="O395" s="25" t="e">
        <f t="shared" si="164"/>
        <v>#REF!</v>
      </c>
      <c r="P395" s="25" t="e">
        <f t="shared" si="164"/>
        <v>#REF!</v>
      </c>
      <c r="Q395" s="25" t="e">
        <f t="shared" si="164"/>
        <v>#REF!</v>
      </c>
      <c r="R395" s="25">
        <f t="shared" si="164"/>
        <v>3711.5</v>
      </c>
      <c r="S395" s="16">
        <f t="shared" si="163"/>
        <v>-0.6999999999998181</v>
      </c>
    </row>
    <row r="396" spans="1:19" s="1" customFormat="1" ht="93" customHeight="1">
      <c r="A396" s="56"/>
      <c r="B396" s="11" t="s">
        <v>93</v>
      </c>
      <c r="C396" s="32" t="s">
        <v>46</v>
      </c>
      <c r="D396" s="32" t="s">
        <v>25</v>
      </c>
      <c r="E396" s="32" t="s">
        <v>30</v>
      </c>
      <c r="F396" s="24" t="s">
        <v>259</v>
      </c>
      <c r="G396" s="23" t="s">
        <v>59</v>
      </c>
      <c r="H396" s="25">
        <v>3115.4</v>
      </c>
      <c r="I396" s="26" t="e">
        <f>I397+#REF!</f>
        <v>#REF!</v>
      </c>
      <c r="J396" s="27" t="e">
        <f>J397+#REF!</f>
        <v>#REF!</v>
      </c>
      <c r="K396" s="27" t="e">
        <f>K397+#REF!</f>
        <v>#REF!</v>
      </c>
      <c r="L396" s="27" t="e">
        <f>L397+#REF!</f>
        <v>#REF!</v>
      </c>
      <c r="M396" s="27" t="e">
        <f>M397+#REF!</f>
        <v>#REF!</v>
      </c>
      <c r="N396" s="27" t="e">
        <f>N397+#REF!</f>
        <v>#REF!</v>
      </c>
      <c r="O396" s="27" t="e">
        <f>O397+#REF!</f>
        <v>#REF!</v>
      </c>
      <c r="P396" s="27" t="e">
        <f>P397+#REF!</f>
        <v>#REF!</v>
      </c>
      <c r="Q396" s="27" t="e">
        <f>Q397+#REF!</f>
        <v>#REF!</v>
      </c>
      <c r="R396" s="13">
        <v>3114.8</v>
      </c>
      <c r="S396" s="16">
        <f t="shared" si="163"/>
        <v>-0.599999999999909</v>
      </c>
    </row>
    <row r="397" spans="1:19" s="1" customFormat="1" ht="60">
      <c r="A397" s="56"/>
      <c r="B397" s="11" t="s">
        <v>94</v>
      </c>
      <c r="C397" s="32" t="s">
        <v>46</v>
      </c>
      <c r="D397" s="32" t="s">
        <v>25</v>
      </c>
      <c r="E397" s="32" t="s">
        <v>30</v>
      </c>
      <c r="F397" s="24" t="s">
        <v>259</v>
      </c>
      <c r="G397" s="23" t="s">
        <v>58</v>
      </c>
      <c r="H397" s="25">
        <f>724.8-180.1+50-0.1</f>
        <v>594.5999999999999</v>
      </c>
      <c r="I397" s="26" t="e">
        <f>I398+#REF!+#REF!</f>
        <v>#REF!</v>
      </c>
      <c r="J397" s="27" t="e">
        <f>J398+#REF!+#REF!</f>
        <v>#REF!</v>
      </c>
      <c r="K397" s="27" t="e">
        <f>K398+#REF!+#REF!</f>
        <v>#REF!</v>
      </c>
      <c r="L397" s="27" t="e">
        <f>L398+#REF!+#REF!</f>
        <v>#REF!</v>
      </c>
      <c r="M397" s="27" t="e">
        <f>M398+#REF!+#REF!</f>
        <v>#REF!</v>
      </c>
      <c r="N397" s="27" t="e">
        <f>N398+#REF!+#REF!</f>
        <v>#REF!</v>
      </c>
      <c r="O397" s="27" t="e">
        <f>O398+#REF!+#REF!</f>
        <v>#REF!</v>
      </c>
      <c r="P397" s="27" t="e">
        <f>P398+#REF!+#REF!</f>
        <v>#REF!</v>
      </c>
      <c r="Q397" s="27" t="e">
        <f>Q398+#REF!+#REF!</f>
        <v>#REF!</v>
      </c>
      <c r="R397" s="13">
        <v>594.5</v>
      </c>
      <c r="S397" s="16">
        <f t="shared" si="163"/>
        <v>-0.09999999999990905</v>
      </c>
    </row>
    <row r="398" spans="1:19" s="1" customFormat="1" ht="43.5" customHeight="1">
      <c r="A398" s="56"/>
      <c r="B398" s="11" t="s">
        <v>272</v>
      </c>
      <c r="C398" s="32" t="s">
        <v>46</v>
      </c>
      <c r="D398" s="32" t="s">
        <v>25</v>
      </c>
      <c r="E398" s="32" t="s">
        <v>30</v>
      </c>
      <c r="F398" s="24" t="s">
        <v>259</v>
      </c>
      <c r="G398" s="23" t="s">
        <v>54</v>
      </c>
      <c r="H398" s="25">
        <f>3-0.8</f>
        <v>2.2</v>
      </c>
      <c r="I398" s="26" t="e">
        <f>#REF!+#REF!</f>
        <v>#REF!</v>
      </c>
      <c r="J398" s="27" t="e">
        <f>#REF!+#REF!</f>
        <v>#REF!</v>
      </c>
      <c r="K398" s="27" t="e">
        <f>#REF!+#REF!</f>
        <v>#REF!</v>
      </c>
      <c r="L398" s="27" t="e">
        <f>#REF!+#REF!</f>
        <v>#REF!</v>
      </c>
      <c r="M398" s="27" t="e">
        <f>#REF!+#REF!</f>
        <v>#REF!</v>
      </c>
      <c r="N398" s="27" t="e">
        <f>#REF!+#REF!</f>
        <v>#REF!</v>
      </c>
      <c r="O398" s="27" t="e">
        <f>#REF!+#REF!</f>
        <v>#REF!</v>
      </c>
      <c r="P398" s="27" t="e">
        <f>#REF!+#REF!</f>
        <v>#REF!</v>
      </c>
      <c r="Q398" s="27" t="e">
        <f>#REF!+#REF!</f>
        <v>#REF!</v>
      </c>
      <c r="R398" s="13">
        <v>2.2</v>
      </c>
      <c r="S398" s="16">
        <f t="shared" si="163"/>
        <v>0</v>
      </c>
    </row>
    <row r="399" spans="1:19" s="1" customFormat="1" ht="15">
      <c r="A399" s="56"/>
      <c r="B399" s="15" t="s">
        <v>1</v>
      </c>
      <c r="C399" s="17" t="s">
        <v>46</v>
      </c>
      <c r="D399" s="17" t="s">
        <v>32</v>
      </c>
      <c r="E399" s="17"/>
      <c r="F399" s="18"/>
      <c r="G399" s="17"/>
      <c r="H399" s="16">
        <f>H400</f>
        <v>200.9</v>
      </c>
      <c r="I399" s="16" t="e">
        <f aca="true" t="shared" si="165" ref="I399:R399">I400</f>
        <v>#REF!</v>
      </c>
      <c r="J399" s="16" t="e">
        <f t="shared" si="165"/>
        <v>#REF!</v>
      </c>
      <c r="K399" s="16" t="e">
        <f t="shared" si="165"/>
        <v>#REF!</v>
      </c>
      <c r="L399" s="16" t="e">
        <f t="shared" si="165"/>
        <v>#REF!</v>
      </c>
      <c r="M399" s="16" t="e">
        <f t="shared" si="165"/>
        <v>#REF!</v>
      </c>
      <c r="N399" s="16" t="e">
        <f t="shared" si="165"/>
        <v>#REF!</v>
      </c>
      <c r="O399" s="16" t="e">
        <f t="shared" si="165"/>
        <v>#REF!</v>
      </c>
      <c r="P399" s="16" t="e">
        <f t="shared" si="165"/>
        <v>#REF!</v>
      </c>
      <c r="Q399" s="16" t="e">
        <f t="shared" si="165"/>
        <v>#REF!</v>
      </c>
      <c r="R399" s="16">
        <f t="shared" si="165"/>
        <v>200.9</v>
      </c>
      <c r="S399" s="16">
        <f t="shared" si="163"/>
        <v>0</v>
      </c>
    </row>
    <row r="400" spans="1:19" s="2" customFormat="1" ht="15">
      <c r="A400" s="57"/>
      <c r="B400" s="19" t="s">
        <v>15</v>
      </c>
      <c r="C400" s="20" t="s">
        <v>46</v>
      </c>
      <c r="D400" s="20" t="s">
        <v>32</v>
      </c>
      <c r="E400" s="20" t="s">
        <v>24</v>
      </c>
      <c r="F400" s="29"/>
      <c r="G400" s="30"/>
      <c r="H400" s="22">
        <f aca="true" t="shared" si="166" ref="H400:R400">H404</f>
        <v>200.9</v>
      </c>
      <c r="I400" s="22" t="e">
        <f t="shared" si="166"/>
        <v>#REF!</v>
      </c>
      <c r="J400" s="22" t="e">
        <f t="shared" si="166"/>
        <v>#REF!</v>
      </c>
      <c r="K400" s="22" t="e">
        <f t="shared" si="166"/>
        <v>#REF!</v>
      </c>
      <c r="L400" s="22" t="e">
        <f t="shared" si="166"/>
        <v>#REF!</v>
      </c>
      <c r="M400" s="22" t="e">
        <f t="shared" si="166"/>
        <v>#REF!</v>
      </c>
      <c r="N400" s="22" t="e">
        <f t="shared" si="166"/>
        <v>#REF!</v>
      </c>
      <c r="O400" s="22" t="e">
        <f t="shared" si="166"/>
        <v>#REF!</v>
      </c>
      <c r="P400" s="22" t="e">
        <f t="shared" si="166"/>
        <v>#REF!</v>
      </c>
      <c r="Q400" s="22" t="e">
        <f t="shared" si="166"/>
        <v>#REF!</v>
      </c>
      <c r="R400" s="22">
        <f t="shared" si="166"/>
        <v>200.9</v>
      </c>
      <c r="S400" s="16">
        <f t="shared" si="163"/>
        <v>0</v>
      </c>
    </row>
    <row r="401" spans="1:19" s="1" customFormat="1" ht="30">
      <c r="A401" s="56"/>
      <c r="B401" s="11" t="s">
        <v>255</v>
      </c>
      <c r="C401" s="23" t="s">
        <v>46</v>
      </c>
      <c r="D401" s="23" t="s">
        <v>32</v>
      </c>
      <c r="E401" s="23" t="s">
        <v>24</v>
      </c>
      <c r="F401" s="24" t="s">
        <v>29</v>
      </c>
      <c r="G401" s="23"/>
      <c r="H401" s="25">
        <f>H402</f>
        <v>200.9</v>
      </c>
      <c r="I401" s="25" t="e">
        <f aca="true" t="shared" si="167" ref="I401:R403">I402</f>
        <v>#REF!</v>
      </c>
      <c r="J401" s="25" t="e">
        <f t="shared" si="167"/>
        <v>#REF!</v>
      </c>
      <c r="K401" s="25" t="e">
        <f t="shared" si="167"/>
        <v>#REF!</v>
      </c>
      <c r="L401" s="25" t="e">
        <f t="shared" si="167"/>
        <v>#REF!</v>
      </c>
      <c r="M401" s="25" t="e">
        <f t="shared" si="167"/>
        <v>#REF!</v>
      </c>
      <c r="N401" s="25" t="e">
        <f t="shared" si="167"/>
        <v>#REF!</v>
      </c>
      <c r="O401" s="25" t="e">
        <f t="shared" si="167"/>
        <v>#REF!</v>
      </c>
      <c r="P401" s="25" t="e">
        <f t="shared" si="167"/>
        <v>#REF!</v>
      </c>
      <c r="Q401" s="25" t="e">
        <f t="shared" si="167"/>
        <v>#REF!</v>
      </c>
      <c r="R401" s="25">
        <f t="shared" si="167"/>
        <v>200.9</v>
      </c>
      <c r="S401" s="16">
        <f t="shared" si="163"/>
        <v>0</v>
      </c>
    </row>
    <row r="402" spans="1:19" s="1" customFormat="1" ht="15">
      <c r="A402" s="56"/>
      <c r="B402" s="11" t="s">
        <v>260</v>
      </c>
      <c r="C402" s="23" t="s">
        <v>46</v>
      </c>
      <c r="D402" s="23" t="s">
        <v>32</v>
      </c>
      <c r="E402" s="23" t="s">
        <v>24</v>
      </c>
      <c r="F402" s="24" t="s">
        <v>256</v>
      </c>
      <c r="G402" s="23"/>
      <c r="H402" s="25">
        <f>H403</f>
        <v>200.9</v>
      </c>
      <c r="I402" s="25" t="e">
        <f t="shared" si="167"/>
        <v>#REF!</v>
      </c>
      <c r="J402" s="25" t="e">
        <f t="shared" si="167"/>
        <v>#REF!</v>
      </c>
      <c r="K402" s="25" t="e">
        <f t="shared" si="167"/>
        <v>#REF!</v>
      </c>
      <c r="L402" s="25" t="e">
        <f t="shared" si="167"/>
        <v>#REF!</v>
      </c>
      <c r="M402" s="25" t="e">
        <f t="shared" si="167"/>
        <v>#REF!</v>
      </c>
      <c r="N402" s="25" t="e">
        <f t="shared" si="167"/>
        <v>#REF!</v>
      </c>
      <c r="O402" s="25" t="e">
        <f t="shared" si="167"/>
        <v>#REF!</v>
      </c>
      <c r="P402" s="25" t="e">
        <f t="shared" si="167"/>
        <v>#REF!</v>
      </c>
      <c r="Q402" s="25" t="e">
        <f t="shared" si="167"/>
        <v>#REF!</v>
      </c>
      <c r="R402" s="25">
        <f t="shared" si="167"/>
        <v>200.9</v>
      </c>
      <c r="S402" s="16">
        <f t="shared" si="163"/>
        <v>0</v>
      </c>
    </row>
    <row r="403" spans="1:19" s="1" customFormat="1" ht="30">
      <c r="A403" s="56"/>
      <c r="B403" s="11" t="s">
        <v>257</v>
      </c>
      <c r="C403" s="23" t="s">
        <v>46</v>
      </c>
      <c r="D403" s="23" t="s">
        <v>32</v>
      </c>
      <c r="E403" s="23" t="s">
        <v>24</v>
      </c>
      <c r="F403" s="24" t="s">
        <v>258</v>
      </c>
      <c r="G403" s="23"/>
      <c r="H403" s="25">
        <f>H404</f>
        <v>200.9</v>
      </c>
      <c r="I403" s="25" t="e">
        <f t="shared" si="167"/>
        <v>#REF!</v>
      </c>
      <c r="J403" s="25" t="e">
        <f t="shared" si="167"/>
        <v>#REF!</v>
      </c>
      <c r="K403" s="25" t="e">
        <f t="shared" si="167"/>
        <v>#REF!</v>
      </c>
      <c r="L403" s="25" t="e">
        <f t="shared" si="167"/>
        <v>#REF!</v>
      </c>
      <c r="M403" s="25" t="e">
        <f t="shared" si="167"/>
        <v>#REF!</v>
      </c>
      <c r="N403" s="25" t="e">
        <f t="shared" si="167"/>
        <v>#REF!</v>
      </c>
      <c r="O403" s="25" t="e">
        <f t="shared" si="167"/>
        <v>#REF!</v>
      </c>
      <c r="P403" s="25" t="e">
        <f t="shared" si="167"/>
        <v>#REF!</v>
      </c>
      <c r="Q403" s="25" t="e">
        <f t="shared" si="167"/>
        <v>#REF!</v>
      </c>
      <c r="R403" s="25">
        <f t="shared" si="167"/>
        <v>200.9</v>
      </c>
      <c r="S403" s="16">
        <f t="shared" si="163"/>
        <v>0</v>
      </c>
    </row>
    <row r="404" spans="1:19" s="1" customFormat="1" ht="78" customHeight="1">
      <c r="A404" s="56"/>
      <c r="B404" s="11" t="s">
        <v>261</v>
      </c>
      <c r="C404" s="23" t="s">
        <v>46</v>
      </c>
      <c r="D404" s="23" t="s">
        <v>32</v>
      </c>
      <c r="E404" s="23" t="s">
        <v>24</v>
      </c>
      <c r="F404" s="24" t="s">
        <v>270</v>
      </c>
      <c r="G404" s="23" t="s">
        <v>59</v>
      </c>
      <c r="H404" s="25">
        <f>200+0.9</f>
        <v>200.9</v>
      </c>
      <c r="I404" s="26" t="e">
        <f>#REF!</f>
        <v>#REF!</v>
      </c>
      <c r="J404" s="27" t="e">
        <f>#REF!</f>
        <v>#REF!</v>
      </c>
      <c r="K404" s="27" t="e">
        <f>#REF!</f>
        <v>#REF!</v>
      </c>
      <c r="L404" s="27" t="e">
        <f>#REF!</f>
        <v>#REF!</v>
      </c>
      <c r="M404" s="27" t="e">
        <f>#REF!</f>
        <v>#REF!</v>
      </c>
      <c r="N404" s="27" t="e">
        <f>#REF!</f>
        <v>#REF!</v>
      </c>
      <c r="O404" s="27" t="e">
        <f>#REF!</f>
        <v>#REF!</v>
      </c>
      <c r="P404" s="27" t="e">
        <f>#REF!</f>
        <v>#REF!</v>
      </c>
      <c r="Q404" s="27" t="e">
        <f>#REF!</f>
        <v>#REF!</v>
      </c>
      <c r="R404" s="13">
        <v>200.9</v>
      </c>
      <c r="S404" s="16">
        <f t="shared" si="163"/>
        <v>0</v>
      </c>
    </row>
    <row r="405" spans="1:19" s="1" customFormat="1" ht="42.75">
      <c r="A405" s="56"/>
      <c r="B405" s="14" t="s">
        <v>8</v>
      </c>
      <c r="C405" s="17" t="s">
        <v>46</v>
      </c>
      <c r="D405" s="17" t="s">
        <v>39</v>
      </c>
      <c r="E405" s="17"/>
      <c r="F405" s="18"/>
      <c r="G405" s="17"/>
      <c r="H405" s="16">
        <f>H406+H411</f>
        <v>24862.3</v>
      </c>
      <c r="I405" s="16" t="e">
        <f aca="true" t="shared" si="168" ref="I405:R405">I406+I411</f>
        <v>#REF!</v>
      </c>
      <c r="J405" s="16" t="e">
        <f t="shared" si="168"/>
        <v>#REF!</v>
      </c>
      <c r="K405" s="16" t="e">
        <f t="shared" si="168"/>
        <v>#REF!</v>
      </c>
      <c r="L405" s="16" t="e">
        <f t="shared" si="168"/>
        <v>#REF!</v>
      </c>
      <c r="M405" s="16" t="e">
        <f t="shared" si="168"/>
        <v>#REF!</v>
      </c>
      <c r="N405" s="16" t="e">
        <f t="shared" si="168"/>
        <v>#REF!</v>
      </c>
      <c r="O405" s="16" t="e">
        <f t="shared" si="168"/>
        <v>#REF!</v>
      </c>
      <c r="P405" s="16" t="e">
        <f t="shared" si="168"/>
        <v>#REF!</v>
      </c>
      <c r="Q405" s="16" t="e">
        <f t="shared" si="168"/>
        <v>#REF!</v>
      </c>
      <c r="R405" s="16">
        <f t="shared" si="168"/>
        <v>23328.9</v>
      </c>
      <c r="S405" s="16">
        <f t="shared" si="163"/>
        <v>-1533.3999999999978</v>
      </c>
    </row>
    <row r="406" spans="1:19" s="2" customFormat="1" ht="35.25" customHeight="1">
      <c r="A406" s="57"/>
      <c r="B406" s="38" t="s">
        <v>53</v>
      </c>
      <c r="C406" s="20" t="s">
        <v>46</v>
      </c>
      <c r="D406" s="20" t="s">
        <v>39</v>
      </c>
      <c r="E406" s="20" t="s">
        <v>25</v>
      </c>
      <c r="F406" s="29"/>
      <c r="G406" s="30"/>
      <c r="H406" s="22">
        <f>H407</f>
        <v>21938.5</v>
      </c>
      <c r="I406" s="22" t="e">
        <f aca="true" t="shared" si="169" ref="I406:R409">I407</f>
        <v>#REF!</v>
      </c>
      <c r="J406" s="22" t="e">
        <f t="shared" si="169"/>
        <v>#REF!</v>
      </c>
      <c r="K406" s="22" t="e">
        <f t="shared" si="169"/>
        <v>#REF!</v>
      </c>
      <c r="L406" s="22" t="e">
        <f t="shared" si="169"/>
        <v>#REF!</v>
      </c>
      <c r="M406" s="22" t="e">
        <f t="shared" si="169"/>
        <v>#REF!</v>
      </c>
      <c r="N406" s="22" t="e">
        <f t="shared" si="169"/>
        <v>#REF!</v>
      </c>
      <c r="O406" s="22" t="e">
        <f t="shared" si="169"/>
        <v>#REF!</v>
      </c>
      <c r="P406" s="22" t="e">
        <f t="shared" si="169"/>
        <v>#REF!</v>
      </c>
      <c r="Q406" s="22" t="e">
        <f t="shared" si="169"/>
        <v>#REF!</v>
      </c>
      <c r="R406" s="22">
        <f t="shared" si="169"/>
        <v>21938.5</v>
      </c>
      <c r="S406" s="16">
        <f t="shared" si="163"/>
        <v>0</v>
      </c>
    </row>
    <row r="407" spans="1:19" s="2" customFormat="1" ht="28.5" customHeight="1">
      <c r="A407" s="57"/>
      <c r="B407" s="11" t="s">
        <v>255</v>
      </c>
      <c r="C407" s="23" t="s">
        <v>264</v>
      </c>
      <c r="D407" s="23" t="s">
        <v>39</v>
      </c>
      <c r="E407" s="23" t="s">
        <v>25</v>
      </c>
      <c r="F407" s="24" t="s">
        <v>29</v>
      </c>
      <c r="G407" s="23"/>
      <c r="H407" s="25">
        <f>H408</f>
        <v>21938.5</v>
      </c>
      <c r="I407" s="25" t="e">
        <f t="shared" si="169"/>
        <v>#REF!</v>
      </c>
      <c r="J407" s="25" t="e">
        <f t="shared" si="169"/>
        <v>#REF!</v>
      </c>
      <c r="K407" s="25" t="e">
        <f t="shared" si="169"/>
        <v>#REF!</v>
      </c>
      <c r="L407" s="25" t="e">
        <f t="shared" si="169"/>
        <v>#REF!</v>
      </c>
      <c r="M407" s="25" t="e">
        <f t="shared" si="169"/>
        <v>#REF!</v>
      </c>
      <c r="N407" s="25" t="e">
        <f t="shared" si="169"/>
        <v>#REF!</v>
      </c>
      <c r="O407" s="25" t="e">
        <f t="shared" si="169"/>
        <v>#REF!</v>
      </c>
      <c r="P407" s="25" t="e">
        <f t="shared" si="169"/>
        <v>#REF!</v>
      </c>
      <c r="Q407" s="25" t="e">
        <f t="shared" si="169"/>
        <v>#REF!</v>
      </c>
      <c r="R407" s="25">
        <f t="shared" si="169"/>
        <v>21938.5</v>
      </c>
      <c r="S407" s="16">
        <f t="shared" si="163"/>
        <v>0</v>
      </c>
    </row>
    <row r="408" spans="1:19" s="2" customFormat="1" ht="31.5" customHeight="1">
      <c r="A408" s="57"/>
      <c r="B408" s="11" t="s">
        <v>284</v>
      </c>
      <c r="C408" s="23" t="s">
        <v>264</v>
      </c>
      <c r="D408" s="23" t="s">
        <v>39</v>
      </c>
      <c r="E408" s="23" t="s">
        <v>25</v>
      </c>
      <c r="F408" s="24" t="s">
        <v>265</v>
      </c>
      <c r="G408" s="23"/>
      <c r="H408" s="25">
        <f>H409</f>
        <v>21938.5</v>
      </c>
      <c r="I408" s="25" t="e">
        <f t="shared" si="169"/>
        <v>#REF!</v>
      </c>
      <c r="J408" s="25" t="e">
        <f t="shared" si="169"/>
        <v>#REF!</v>
      </c>
      <c r="K408" s="25" t="e">
        <f t="shared" si="169"/>
        <v>#REF!</v>
      </c>
      <c r="L408" s="25" t="e">
        <f t="shared" si="169"/>
        <v>#REF!</v>
      </c>
      <c r="M408" s="25" t="e">
        <f t="shared" si="169"/>
        <v>#REF!</v>
      </c>
      <c r="N408" s="25" t="e">
        <f t="shared" si="169"/>
        <v>#REF!</v>
      </c>
      <c r="O408" s="25" t="e">
        <f t="shared" si="169"/>
        <v>#REF!</v>
      </c>
      <c r="P408" s="25" t="e">
        <f t="shared" si="169"/>
        <v>#REF!</v>
      </c>
      <c r="Q408" s="25" t="e">
        <f t="shared" si="169"/>
        <v>#REF!</v>
      </c>
      <c r="R408" s="25">
        <f t="shared" si="169"/>
        <v>21938.5</v>
      </c>
      <c r="S408" s="16">
        <f t="shared" si="163"/>
        <v>0</v>
      </c>
    </row>
    <row r="409" spans="1:19" s="2" customFormat="1" ht="33.75" customHeight="1">
      <c r="A409" s="57"/>
      <c r="B409" s="11" t="s">
        <v>262</v>
      </c>
      <c r="C409" s="23" t="s">
        <v>264</v>
      </c>
      <c r="D409" s="23" t="s">
        <v>39</v>
      </c>
      <c r="E409" s="23" t="s">
        <v>25</v>
      </c>
      <c r="F409" s="24" t="s">
        <v>339</v>
      </c>
      <c r="G409" s="23"/>
      <c r="H409" s="25">
        <f>H410</f>
        <v>21938.5</v>
      </c>
      <c r="I409" s="25" t="e">
        <f t="shared" si="169"/>
        <v>#REF!</v>
      </c>
      <c r="J409" s="25" t="e">
        <f t="shared" si="169"/>
        <v>#REF!</v>
      </c>
      <c r="K409" s="25" t="e">
        <f t="shared" si="169"/>
        <v>#REF!</v>
      </c>
      <c r="L409" s="25" t="e">
        <f t="shared" si="169"/>
        <v>#REF!</v>
      </c>
      <c r="M409" s="25" t="e">
        <f t="shared" si="169"/>
        <v>#REF!</v>
      </c>
      <c r="N409" s="25" t="e">
        <f t="shared" si="169"/>
        <v>#REF!</v>
      </c>
      <c r="O409" s="25" t="e">
        <f t="shared" si="169"/>
        <v>#REF!</v>
      </c>
      <c r="P409" s="25" t="e">
        <f t="shared" si="169"/>
        <v>#REF!</v>
      </c>
      <c r="Q409" s="25" t="e">
        <f t="shared" si="169"/>
        <v>#REF!</v>
      </c>
      <c r="R409" s="25">
        <f t="shared" si="169"/>
        <v>21938.5</v>
      </c>
      <c r="S409" s="16">
        <f t="shared" si="163"/>
        <v>0</v>
      </c>
    </row>
    <row r="410" spans="1:19" s="1" customFormat="1" ht="30" customHeight="1">
      <c r="A410" s="56"/>
      <c r="B410" s="41" t="s">
        <v>263</v>
      </c>
      <c r="C410" s="23" t="s">
        <v>46</v>
      </c>
      <c r="D410" s="23" t="s">
        <v>39</v>
      </c>
      <c r="E410" s="23" t="s">
        <v>25</v>
      </c>
      <c r="F410" s="24" t="s">
        <v>266</v>
      </c>
      <c r="G410" s="23" t="s">
        <v>2</v>
      </c>
      <c r="H410" s="25">
        <v>21938.5</v>
      </c>
      <c r="I410" s="43" t="e">
        <f>#REF!</f>
        <v>#REF!</v>
      </c>
      <c r="J410" s="44" t="e">
        <f>#REF!</f>
        <v>#REF!</v>
      </c>
      <c r="K410" s="44" t="e">
        <f>#REF!</f>
        <v>#REF!</v>
      </c>
      <c r="L410" s="44" t="e">
        <f>#REF!</f>
        <v>#REF!</v>
      </c>
      <c r="M410" s="44" t="e">
        <f>#REF!</f>
        <v>#REF!</v>
      </c>
      <c r="N410" s="44" t="e">
        <f>#REF!</f>
        <v>#REF!</v>
      </c>
      <c r="O410" s="44" t="e">
        <f>#REF!</f>
        <v>#REF!</v>
      </c>
      <c r="P410" s="44" t="e">
        <f>#REF!</f>
        <v>#REF!</v>
      </c>
      <c r="Q410" s="44" t="e">
        <f>#REF!</f>
        <v>#REF!</v>
      </c>
      <c r="R410" s="13">
        <v>21938.5</v>
      </c>
      <c r="S410" s="16">
        <f t="shared" si="163"/>
        <v>0</v>
      </c>
    </row>
    <row r="411" spans="1:19" s="1" customFormat="1" ht="24" customHeight="1">
      <c r="A411" s="56"/>
      <c r="B411" s="38" t="s">
        <v>380</v>
      </c>
      <c r="C411" s="20" t="s">
        <v>46</v>
      </c>
      <c r="D411" s="20" t="s">
        <v>39</v>
      </c>
      <c r="E411" s="20" t="s">
        <v>28</v>
      </c>
      <c r="F411" s="21"/>
      <c r="G411" s="20"/>
      <c r="H411" s="93">
        <f>H415+H412</f>
        <v>2923.8</v>
      </c>
      <c r="I411" s="93">
        <f aca="true" t="shared" si="170" ref="I411:R411">I415+I412</f>
        <v>0</v>
      </c>
      <c r="J411" s="93">
        <f t="shared" si="170"/>
        <v>0</v>
      </c>
      <c r="K411" s="93">
        <f t="shared" si="170"/>
        <v>0</v>
      </c>
      <c r="L411" s="93">
        <f t="shared" si="170"/>
        <v>0</v>
      </c>
      <c r="M411" s="93">
        <f t="shared" si="170"/>
        <v>0</v>
      </c>
      <c r="N411" s="93">
        <f t="shared" si="170"/>
        <v>0</v>
      </c>
      <c r="O411" s="93">
        <f t="shared" si="170"/>
        <v>0</v>
      </c>
      <c r="P411" s="93">
        <f t="shared" si="170"/>
        <v>0</v>
      </c>
      <c r="Q411" s="93">
        <f t="shared" si="170"/>
        <v>0</v>
      </c>
      <c r="R411" s="93">
        <f t="shared" si="170"/>
        <v>1390.4</v>
      </c>
      <c r="S411" s="16">
        <f t="shared" si="163"/>
        <v>-1533.4</v>
      </c>
    </row>
    <row r="412" spans="1:19" s="1" customFormat="1" ht="27.75" customHeight="1">
      <c r="A412" s="56"/>
      <c r="B412" s="11" t="s">
        <v>300</v>
      </c>
      <c r="C412" s="23" t="s">
        <v>46</v>
      </c>
      <c r="D412" s="23" t="s">
        <v>39</v>
      </c>
      <c r="E412" s="23" t="s">
        <v>28</v>
      </c>
      <c r="F412" s="24" t="s">
        <v>392</v>
      </c>
      <c r="G412" s="23"/>
      <c r="H412" s="13">
        <f>H413</f>
        <v>750</v>
      </c>
      <c r="I412" s="13">
        <f aca="true" t="shared" si="171" ref="I412:R413">I413</f>
        <v>0</v>
      </c>
      <c r="J412" s="13">
        <f t="shared" si="171"/>
        <v>0</v>
      </c>
      <c r="K412" s="13">
        <f t="shared" si="171"/>
        <v>0</v>
      </c>
      <c r="L412" s="13">
        <f t="shared" si="171"/>
        <v>0</v>
      </c>
      <c r="M412" s="13">
        <f t="shared" si="171"/>
        <v>0</v>
      </c>
      <c r="N412" s="13">
        <f t="shared" si="171"/>
        <v>0</v>
      </c>
      <c r="O412" s="13">
        <f t="shared" si="171"/>
        <v>0</v>
      </c>
      <c r="P412" s="13">
        <f t="shared" si="171"/>
        <v>0</v>
      </c>
      <c r="Q412" s="13">
        <f t="shared" si="171"/>
        <v>0</v>
      </c>
      <c r="R412" s="13">
        <f t="shared" si="171"/>
        <v>750</v>
      </c>
      <c r="S412" s="16">
        <f t="shared" si="163"/>
        <v>0</v>
      </c>
    </row>
    <row r="413" spans="1:19" s="1" customFormat="1" ht="24" customHeight="1">
      <c r="A413" s="56"/>
      <c r="B413" s="11" t="s">
        <v>78</v>
      </c>
      <c r="C413" s="23" t="s">
        <v>46</v>
      </c>
      <c r="D413" s="23" t="s">
        <v>39</v>
      </c>
      <c r="E413" s="23" t="s">
        <v>28</v>
      </c>
      <c r="F413" s="24" t="s">
        <v>393</v>
      </c>
      <c r="G413" s="23"/>
      <c r="H413" s="13">
        <f>H414</f>
        <v>750</v>
      </c>
      <c r="I413" s="13">
        <f t="shared" si="171"/>
        <v>0</v>
      </c>
      <c r="J413" s="13">
        <f t="shared" si="171"/>
        <v>0</v>
      </c>
      <c r="K413" s="13">
        <f t="shared" si="171"/>
        <v>0</v>
      </c>
      <c r="L413" s="13">
        <f t="shared" si="171"/>
        <v>0</v>
      </c>
      <c r="M413" s="13">
        <f t="shared" si="171"/>
        <v>0</v>
      </c>
      <c r="N413" s="13">
        <f t="shared" si="171"/>
        <v>0</v>
      </c>
      <c r="O413" s="13">
        <f t="shared" si="171"/>
        <v>0</v>
      </c>
      <c r="P413" s="13">
        <f t="shared" si="171"/>
        <v>0</v>
      </c>
      <c r="Q413" s="13">
        <f t="shared" si="171"/>
        <v>0</v>
      </c>
      <c r="R413" s="13">
        <f t="shared" si="171"/>
        <v>750</v>
      </c>
      <c r="S413" s="16">
        <f t="shared" si="163"/>
        <v>0</v>
      </c>
    </row>
    <row r="414" spans="1:19" s="1" customFormat="1" ht="45.75" customHeight="1">
      <c r="A414" s="56"/>
      <c r="B414" s="11" t="s">
        <v>399</v>
      </c>
      <c r="C414" s="23" t="s">
        <v>46</v>
      </c>
      <c r="D414" s="23" t="s">
        <v>39</v>
      </c>
      <c r="E414" s="23" t="s">
        <v>28</v>
      </c>
      <c r="F414" s="24" t="s">
        <v>391</v>
      </c>
      <c r="G414" s="23" t="s">
        <v>2</v>
      </c>
      <c r="H414" s="13">
        <v>750</v>
      </c>
      <c r="I414" s="75"/>
      <c r="J414" s="76"/>
      <c r="K414" s="76"/>
      <c r="L414" s="76"/>
      <c r="M414" s="76"/>
      <c r="N414" s="76"/>
      <c r="O414" s="76"/>
      <c r="P414" s="76"/>
      <c r="Q414" s="76"/>
      <c r="R414" s="13">
        <v>750</v>
      </c>
      <c r="S414" s="16">
        <f t="shared" si="163"/>
        <v>0</v>
      </c>
    </row>
    <row r="415" spans="1:19" s="1" customFormat="1" ht="23.25" customHeight="1">
      <c r="A415" s="56"/>
      <c r="B415" s="11" t="s">
        <v>90</v>
      </c>
      <c r="C415" s="23" t="s">
        <v>46</v>
      </c>
      <c r="D415" s="23" t="s">
        <v>39</v>
      </c>
      <c r="E415" s="23" t="s">
        <v>28</v>
      </c>
      <c r="F415" s="24" t="s">
        <v>381</v>
      </c>
      <c r="G415" s="23"/>
      <c r="H415" s="13">
        <f aca="true" t="shared" si="172" ref="H415:R415">H416</f>
        <v>2173.8</v>
      </c>
      <c r="I415" s="13">
        <f t="shared" si="172"/>
        <v>0</v>
      </c>
      <c r="J415" s="13">
        <f t="shared" si="172"/>
        <v>0</v>
      </c>
      <c r="K415" s="13">
        <f t="shared" si="172"/>
        <v>0</v>
      </c>
      <c r="L415" s="13">
        <f t="shared" si="172"/>
        <v>0</v>
      </c>
      <c r="M415" s="13">
        <f t="shared" si="172"/>
        <v>0</v>
      </c>
      <c r="N415" s="13">
        <f t="shared" si="172"/>
        <v>0</v>
      </c>
      <c r="O415" s="13">
        <f t="shared" si="172"/>
        <v>0</v>
      </c>
      <c r="P415" s="13">
        <f t="shared" si="172"/>
        <v>0</v>
      </c>
      <c r="Q415" s="13">
        <f t="shared" si="172"/>
        <v>0</v>
      </c>
      <c r="R415" s="13">
        <f t="shared" si="172"/>
        <v>640.4</v>
      </c>
      <c r="S415" s="16">
        <f t="shared" si="163"/>
        <v>-1533.4</v>
      </c>
    </row>
    <row r="416" spans="1:19" s="1" customFormat="1" ht="19.5" customHeight="1">
      <c r="A416" s="56"/>
      <c r="B416" s="11" t="s">
        <v>78</v>
      </c>
      <c r="C416" s="23" t="s">
        <v>46</v>
      </c>
      <c r="D416" s="23" t="s">
        <v>39</v>
      </c>
      <c r="E416" s="23" t="s">
        <v>28</v>
      </c>
      <c r="F416" s="24" t="s">
        <v>92</v>
      </c>
      <c r="G416" s="23"/>
      <c r="H416" s="13">
        <f>H417+H418</f>
        <v>2173.8</v>
      </c>
      <c r="I416" s="13">
        <f aca="true" t="shared" si="173" ref="I416:R416">I417+I418</f>
        <v>0</v>
      </c>
      <c r="J416" s="13">
        <f t="shared" si="173"/>
        <v>0</v>
      </c>
      <c r="K416" s="13">
        <f t="shared" si="173"/>
        <v>0</v>
      </c>
      <c r="L416" s="13">
        <f t="shared" si="173"/>
        <v>0</v>
      </c>
      <c r="M416" s="13">
        <f t="shared" si="173"/>
        <v>0</v>
      </c>
      <c r="N416" s="13">
        <f t="shared" si="173"/>
        <v>0</v>
      </c>
      <c r="O416" s="13">
        <f t="shared" si="173"/>
        <v>0</v>
      </c>
      <c r="P416" s="13">
        <f t="shared" si="173"/>
        <v>0</v>
      </c>
      <c r="Q416" s="13">
        <f t="shared" si="173"/>
        <v>0</v>
      </c>
      <c r="R416" s="13">
        <f t="shared" si="173"/>
        <v>640.4</v>
      </c>
      <c r="S416" s="16">
        <f t="shared" si="163"/>
        <v>-1533.4</v>
      </c>
    </row>
    <row r="417" spans="1:19" s="1" customFormat="1" ht="60.75" customHeight="1">
      <c r="A417" s="56"/>
      <c r="B417" s="11" t="s">
        <v>378</v>
      </c>
      <c r="C417" s="23" t="s">
        <v>46</v>
      </c>
      <c r="D417" s="23" t="s">
        <v>39</v>
      </c>
      <c r="E417" s="23" t="s">
        <v>28</v>
      </c>
      <c r="F417" s="24" t="s">
        <v>379</v>
      </c>
      <c r="G417" s="23" t="s">
        <v>2</v>
      </c>
      <c r="H417" s="25">
        <v>1899.3</v>
      </c>
      <c r="I417" s="46"/>
      <c r="J417" s="45"/>
      <c r="K417" s="45"/>
      <c r="L417" s="45"/>
      <c r="M417" s="45"/>
      <c r="N417" s="45"/>
      <c r="O417" s="45"/>
      <c r="P417" s="45"/>
      <c r="Q417" s="45"/>
      <c r="R417" s="13">
        <v>366</v>
      </c>
      <c r="S417" s="16">
        <f t="shared" si="163"/>
        <v>-1533.3</v>
      </c>
    </row>
    <row r="418" spans="1:19" s="1" customFormat="1" ht="53.25" customHeight="1">
      <c r="A418" s="56"/>
      <c r="B418" s="11" t="s">
        <v>388</v>
      </c>
      <c r="C418" s="23" t="s">
        <v>46</v>
      </c>
      <c r="D418" s="23" t="s">
        <v>39</v>
      </c>
      <c r="E418" s="23" t="s">
        <v>28</v>
      </c>
      <c r="F418" s="24" t="s">
        <v>389</v>
      </c>
      <c r="G418" s="23" t="s">
        <v>2</v>
      </c>
      <c r="H418" s="25">
        <v>274.5</v>
      </c>
      <c r="I418" s="46"/>
      <c r="J418" s="45"/>
      <c r="K418" s="45"/>
      <c r="L418" s="45"/>
      <c r="M418" s="45"/>
      <c r="N418" s="45"/>
      <c r="O418" s="45"/>
      <c r="P418" s="45"/>
      <c r="Q418" s="45"/>
      <c r="R418" s="13">
        <v>274.4</v>
      </c>
      <c r="S418" s="16">
        <f t="shared" si="163"/>
        <v>-0.10000000000002274</v>
      </c>
    </row>
    <row r="419" spans="1:19" s="1" customFormat="1" ht="43.5">
      <c r="A419" s="56"/>
      <c r="B419" s="47" t="s">
        <v>364</v>
      </c>
      <c r="C419" s="49"/>
      <c r="D419" s="49"/>
      <c r="E419" s="49"/>
      <c r="F419" s="50"/>
      <c r="G419" s="49"/>
      <c r="H419" s="16">
        <f>H420</f>
        <v>785.4000000000001</v>
      </c>
      <c r="I419" s="16" t="e">
        <f aca="true" t="shared" si="174" ref="I419:R423">I420</f>
        <v>#REF!</v>
      </c>
      <c r="J419" s="16" t="e">
        <f t="shared" si="174"/>
        <v>#REF!</v>
      </c>
      <c r="K419" s="16" t="e">
        <f t="shared" si="174"/>
        <v>#REF!</v>
      </c>
      <c r="L419" s="16" t="e">
        <f t="shared" si="174"/>
        <v>#REF!</v>
      </c>
      <c r="M419" s="16" t="e">
        <f t="shared" si="174"/>
        <v>#REF!</v>
      </c>
      <c r="N419" s="16" t="e">
        <f t="shared" si="174"/>
        <v>#REF!</v>
      </c>
      <c r="O419" s="16" t="e">
        <f t="shared" si="174"/>
        <v>#REF!</v>
      </c>
      <c r="P419" s="16" t="e">
        <f t="shared" si="174"/>
        <v>#REF!</v>
      </c>
      <c r="Q419" s="16" t="e">
        <f t="shared" si="174"/>
        <v>#REF!</v>
      </c>
      <c r="R419" s="16">
        <f t="shared" si="174"/>
        <v>785.4000000000001</v>
      </c>
      <c r="S419" s="16">
        <f t="shared" si="163"/>
        <v>0</v>
      </c>
    </row>
    <row r="420" spans="1:19" s="1" customFormat="1" ht="15">
      <c r="A420" s="56"/>
      <c r="B420" s="15" t="s">
        <v>7</v>
      </c>
      <c r="C420" s="36" t="s">
        <v>347</v>
      </c>
      <c r="D420" s="17" t="s">
        <v>31</v>
      </c>
      <c r="E420" s="17"/>
      <c r="F420" s="18"/>
      <c r="G420" s="17"/>
      <c r="H420" s="16">
        <f>H421</f>
        <v>785.4000000000001</v>
      </c>
      <c r="I420" s="16" t="e">
        <f t="shared" si="174"/>
        <v>#REF!</v>
      </c>
      <c r="J420" s="16" t="e">
        <f t="shared" si="174"/>
        <v>#REF!</v>
      </c>
      <c r="K420" s="16" t="e">
        <f t="shared" si="174"/>
        <v>#REF!</v>
      </c>
      <c r="L420" s="16" t="e">
        <f t="shared" si="174"/>
        <v>#REF!</v>
      </c>
      <c r="M420" s="16" t="e">
        <f t="shared" si="174"/>
        <v>#REF!</v>
      </c>
      <c r="N420" s="16" t="e">
        <f t="shared" si="174"/>
        <v>#REF!</v>
      </c>
      <c r="O420" s="16" t="e">
        <f t="shared" si="174"/>
        <v>#REF!</v>
      </c>
      <c r="P420" s="16" t="e">
        <f t="shared" si="174"/>
        <v>#REF!</v>
      </c>
      <c r="Q420" s="16" t="e">
        <f t="shared" si="174"/>
        <v>#REF!</v>
      </c>
      <c r="R420" s="16">
        <f t="shared" si="174"/>
        <v>785.4000000000001</v>
      </c>
      <c r="S420" s="16">
        <f t="shared" si="163"/>
        <v>0</v>
      </c>
    </row>
    <row r="421" spans="1:19" s="1" customFormat="1" ht="15">
      <c r="A421" s="56"/>
      <c r="B421" s="19" t="s">
        <v>16</v>
      </c>
      <c r="C421" s="39" t="s">
        <v>347</v>
      </c>
      <c r="D421" s="20" t="s">
        <v>31</v>
      </c>
      <c r="E421" s="20" t="s">
        <v>25</v>
      </c>
      <c r="F421" s="21"/>
      <c r="G421" s="20"/>
      <c r="H421" s="22">
        <f>H422</f>
        <v>785.4000000000001</v>
      </c>
      <c r="I421" s="22" t="e">
        <f t="shared" si="174"/>
        <v>#REF!</v>
      </c>
      <c r="J421" s="22" t="e">
        <f t="shared" si="174"/>
        <v>#REF!</v>
      </c>
      <c r="K421" s="22" t="e">
        <f t="shared" si="174"/>
        <v>#REF!</v>
      </c>
      <c r="L421" s="22" t="e">
        <f t="shared" si="174"/>
        <v>#REF!</v>
      </c>
      <c r="M421" s="22" t="e">
        <f t="shared" si="174"/>
        <v>#REF!</v>
      </c>
      <c r="N421" s="22" t="e">
        <f t="shared" si="174"/>
        <v>#REF!</v>
      </c>
      <c r="O421" s="22" t="e">
        <f t="shared" si="174"/>
        <v>#REF!</v>
      </c>
      <c r="P421" s="22" t="e">
        <f t="shared" si="174"/>
        <v>#REF!</v>
      </c>
      <c r="Q421" s="22" t="e">
        <f t="shared" si="174"/>
        <v>#REF!</v>
      </c>
      <c r="R421" s="22">
        <f t="shared" si="174"/>
        <v>785.4000000000001</v>
      </c>
      <c r="S421" s="16">
        <f t="shared" si="163"/>
        <v>0</v>
      </c>
    </row>
    <row r="422" spans="1:19" s="1" customFormat="1" ht="30">
      <c r="A422" s="56"/>
      <c r="B422" s="11" t="s">
        <v>140</v>
      </c>
      <c r="C422" s="32" t="s">
        <v>347</v>
      </c>
      <c r="D422" s="23" t="s">
        <v>31</v>
      </c>
      <c r="E422" s="23" t="s">
        <v>25</v>
      </c>
      <c r="F422" s="24" t="s">
        <v>26</v>
      </c>
      <c r="G422" s="23"/>
      <c r="H422" s="25">
        <f>H423</f>
        <v>785.4000000000001</v>
      </c>
      <c r="I422" s="25" t="e">
        <f t="shared" si="174"/>
        <v>#REF!</v>
      </c>
      <c r="J422" s="25" t="e">
        <f t="shared" si="174"/>
        <v>#REF!</v>
      </c>
      <c r="K422" s="25" t="e">
        <f t="shared" si="174"/>
        <v>#REF!</v>
      </c>
      <c r="L422" s="25" t="e">
        <f t="shared" si="174"/>
        <v>#REF!</v>
      </c>
      <c r="M422" s="25" t="e">
        <f t="shared" si="174"/>
        <v>#REF!</v>
      </c>
      <c r="N422" s="25" t="e">
        <f t="shared" si="174"/>
        <v>#REF!</v>
      </c>
      <c r="O422" s="25" t="e">
        <f t="shared" si="174"/>
        <v>#REF!</v>
      </c>
      <c r="P422" s="25" t="e">
        <f t="shared" si="174"/>
        <v>#REF!</v>
      </c>
      <c r="Q422" s="25" t="e">
        <f t="shared" si="174"/>
        <v>#REF!</v>
      </c>
      <c r="R422" s="25">
        <f t="shared" si="174"/>
        <v>785.4000000000001</v>
      </c>
      <c r="S422" s="16">
        <f t="shared" si="163"/>
        <v>0</v>
      </c>
    </row>
    <row r="423" spans="1:19" s="1" customFormat="1" ht="30">
      <c r="A423" s="56"/>
      <c r="B423" s="11" t="s">
        <v>343</v>
      </c>
      <c r="C423" s="32" t="s">
        <v>347</v>
      </c>
      <c r="D423" s="23" t="s">
        <v>31</v>
      </c>
      <c r="E423" s="23" t="s">
        <v>25</v>
      </c>
      <c r="F423" s="24" t="s">
        <v>147</v>
      </c>
      <c r="G423" s="23"/>
      <c r="H423" s="25">
        <f>H424</f>
        <v>785.4000000000001</v>
      </c>
      <c r="I423" s="25" t="e">
        <f t="shared" si="174"/>
        <v>#REF!</v>
      </c>
      <c r="J423" s="25" t="e">
        <f t="shared" si="174"/>
        <v>#REF!</v>
      </c>
      <c r="K423" s="25" t="e">
        <f t="shared" si="174"/>
        <v>#REF!</v>
      </c>
      <c r="L423" s="25" t="e">
        <f t="shared" si="174"/>
        <v>#REF!</v>
      </c>
      <c r="M423" s="25" t="e">
        <f t="shared" si="174"/>
        <v>#REF!</v>
      </c>
      <c r="N423" s="25" t="e">
        <f t="shared" si="174"/>
        <v>#REF!</v>
      </c>
      <c r="O423" s="25" t="e">
        <f t="shared" si="174"/>
        <v>#REF!</v>
      </c>
      <c r="P423" s="25" t="e">
        <f t="shared" si="174"/>
        <v>#REF!</v>
      </c>
      <c r="Q423" s="25" t="e">
        <f t="shared" si="174"/>
        <v>#REF!</v>
      </c>
      <c r="R423" s="25">
        <f t="shared" si="174"/>
        <v>785.4000000000001</v>
      </c>
      <c r="S423" s="16">
        <f t="shared" si="163"/>
        <v>0</v>
      </c>
    </row>
    <row r="424" spans="1:19" s="1" customFormat="1" ht="30">
      <c r="A424" s="56"/>
      <c r="B424" s="11" t="s">
        <v>340</v>
      </c>
      <c r="C424" s="32" t="s">
        <v>347</v>
      </c>
      <c r="D424" s="23" t="s">
        <v>31</v>
      </c>
      <c r="E424" s="23" t="s">
        <v>25</v>
      </c>
      <c r="F424" s="24" t="s">
        <v>344</v>
      </c>
      <c r="G424" s="23"/>
      <c r="H424" s="25">
        <f>H425+H426+H428+H429+H427</f>
        <v>785.4000000000001</v>
      </c>
      <c r="I424" s="25" t="e">
        <f aca="true" t="shared" si="175" ref="I424:R424">I425+I426+I428+I429+I427</f>
        <v>#REF!</v>
      </c>
      <c r="J424" s="25" t="e">
        <f t="shared" si="175"/>
        <v>#REF!</v>
      </c>
      <c r="K424" s="25" t="e">
        <f t="shared" si="175"/>
        <v>#REF!</v>
      </c>
      <c r="L424" s="25" t="e">
        <f t="shared" si="175"/>
        <v>#REF!</v>
      </c>
      <c r="M424" s="25" t="e">
        <f t="shared" si="175"/>
        <v>#REF!</v>
      </c>
      <c r="N424" s="25" t="e">
        <f t="shared" si="175"/>
        <v>#REF!</v>
      </c>
      <c r="O424" s="25" t="e">
        <f t="shared" si="175"/>
        <v>#REF!</v>
      </c>
      <c r="P424" s="25" t="e">
        <f t="shared" si="175"/>
        <v>#REF!</v>
      </c>
      <c r="Q424" s="25" t="e">
        <f t="shared" si="175"/>
        <v>#REF!</v>
      </c>
      <c r="R424" s="25">
        <f t="shared" si="175"/>
        <v>785.4000000000001</v>
      </c>
      <c r="S424" s="16">
        <f t="shared" si="163"/>
        <v>0</v>
      </c>
    </row>
    <row r="425" spans="1:19" s="1" customFormat="1" ht="90">
      <c r="A425" s="56"/>
      <c r="B425" s="11" t="s">
        <v>176</v>
      </c>
      <c r="C425" s="32" t="s">
        <v>347</v>
      </c>
      <c r="D425" s="23" t="s">
        <v>31</v>
      </c>
      <c r="E425" s="23" t="s">
        <v>25</v>
      </c>
      <c r="F425" s="24" t="s">
        <v>345</v>
      </c>
      <c r="G425" s="23" t="s">
        <v>59</v>
      </c>
      <c r="H425" s="25">
        <f>0+619.6</f>
        <v>619.6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3">
        <v>619.6</v>
      </c>
      <c r="S425" s="16">
        <f t="shared" si="163"/>
        <v>0</v>
      </c>
    </row>
    <row r="426" spans="1:19" s="1" customFormat="1" ht="45">
      <c r="A426" s="56"/>
      <c r="B426" s="11" t="s">
        <v>175</v>
      </c>
      <c r="C426" s="32" t="s">
        <v>347</v>
      </c>
      <c r="D426" s="23" t="s">
        <v>31</v>
      </c>
      <c r="E426" s="23" t="s">
        <v>25</v>
      </c>
      <c r="F426" s="24" t="s">
        <v>345</v>
      </c>
      <c r="G426" s="23" t="s">
        <v>58</v>
      </c>
      <c r="H426" s="25">
        <f>0+148.3</f>
        <v>148.3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3">
        <v>148.3</v>
      </c>
      <c r="S426" s="16">
        <f t="shared" si="163"/>
        <v>0</v>
      </c>
    </row>
    <row r="427" spans="1:19" s="1" customFormat="1" ht="45">
      <c r="A427" s="56"/>
      <c r="B427" s="11" t="s">
        <v>403</v>
      </c>
      <c r="C427" s="32" t="s">
        <v>347</v>
      </c>
      <c r="D427" s="23" t="s">
        <v>31</v>
      </c>
      <c r="E427" s="23" t="s">
        <v>25</v>
      </c>
      <c r="F427" s="24" t="s">
        <v>345</v>
      </c>
      <c r="G427" s="23" t="s">
        <v>60</v>
      </c>
      <c r="H427" s="25">
        <f>0+17</f>
        <v>17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3">
        <v>17</v>
      </c>
      <c r="S427" s="16">
        <f t="shared" si="163"/>
        <v>0</v>
      </c>
    </row>
    <row r="428" spans="1:19" s="1" customFormat="1" ht="120">
      <c r="A428" s="56"/>
      <c r="B428" s="11" t="s">
        <v>269</v>
      </c>
      <c r="C428" s="32" t="s">
        <v>347</v>
      </c>
      <c r="D428" s="23" t="s">
        <v>31</v>
      </c>
      <c r="E428" s="23" t="s">
        <v>25</v>
      </c>
      <c r="F428" s="24" t="s">
        <v>348</v>
      </c>
      <c r="G428" s="23" t="s">
        <v>59</v>
      </c>
      <c r="H428" s="25">
        <f>0+0.3</f>
        <v>0.3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3">
        <v>0.3</v>
      </c>
      <c r="S428" s="16">
        <f t="shared" si="163"/>
        <v>0</v>
      </c>
    </row>
    <row r="429" spans="1:19" s="1" customFormat="1" ht="75">
      <c r="A429" s="56"/>
      <c r="B429" s="11" t="s">
        <v>148</v>
      </c>
      <c r="C429" s="32" t="s">
        <v>347</v>
      </c>
      <c r="D429" s="23" t="s">
        <v>31</v>
      </c>
      <c r="E429" s="23" t="s">
        <v>25</v>
      </c>
      <c r="F429" s="24" t="s">
        <v>348</v>
      </c>
      <c r="G429" s="32" t="s">
        <v>60</v>
      </c>
      <c r="H429" s="25">
        <f>0+0.2</f>
        <v>0.2</v>
      </c>
      <c r="I429" s="26" t="e">
        <f>#REF!</f>
        <v>#REF!</v>
      </c>
      <c r="J429" s="27" t="e">
        <f>#REF!</f>
        <v>#REF!</v>
      </c>
      <c r="K429" s="27" t="e">
        <f>#REF!</f>
        <v>#REF!</v>
      </c>
      <c r="L429" s="27" t="e">
        <f>#REF!</f>
        <v>#REF!</v>
      </c>
      <c r="M429" s="27" t="e">
        <f>#REF!</f>
        <v>#REF!</v>
      </c>
      <c r="N429" s="27" t="e">
        <f>#REF!</f>
        <v>#REF!</v>
      </c>
      <c r="O429" s="27" t="e">
        <f>#REF!</f>
        <v>#REF!</v>
      </c>
      <c r="P429" s="27" t="e">
        <f>#REF!</f>
        <v>#REF!</v>
      </c>
      <c r="Q429" s="27" t="e">
        <f>#REF!</f>
        <v>#REF!</v>
      </c>
      <c r="R429" s="13">
        <v>0.2</v>
      </c>
      <c r="S429" s="16">
        <f t="shared" si="163"/>
        <v>0</v>
      </c>
    </row>
    <row r="430" spans="1:8" ht="15">
      <c r="A430" s="3"/>
      <c r="B430" s="9"/>
      <c r="C430" s="6"/>
      <c r="D430" s="6"/>
      <c r="E430" s="6"/>
      <c r="F430" s="7"/>
      <c r="G430" s="6"/>
      <c r="H430" s="51"/>
    </row>
    <row r="431" spans="1:8" ht="15">
      <c r="A431" s="3"/>
      <c r="B431" s="9"/>
      <c r="C431" s="6"/>
      <c r="D431" s="6"/>
      <c r="E431" s="6"/>
      <c r="F431" s="7"/>
      <c r="G431" s="6"/>
      <c r="H431" s="51"/>
    </row>
    <row r="432" spans="1:8" ht="15">
      <c r="A432" s="3"/>
      <c r="B432" s="9"/>
      <c r="C432" s="6"/>
      <c r="D432" s="6"/>
      <c r="E432" s="6"/>
      <c r="F432" s="7"/>
      <c r="G432" s="6"/>
      <c r="H432" s="51"/>
    </row>
    <row r="433" spans="1:8" ht="15">
      <c r="A433" s="3"/>
      <c r="B433" s="9"/>
      <c r="C433" s="6"/>
      <c r="D433" s="6"/>
      <c r="E433" s="6"/>
      <c r="F433" s="7"/>
      <c r="G433" s="6"/>
      <c r="H433" s="51"/>
    </row>
    <row r="434" spans="1:8" ht="15">
      <c r="A434" s="3"/>
      <c r="B434" s="9"/>
      <c r="C434" s="6"/>
      <c r="D434" s="6"/>
      <c r="E434" s="6"/>
      <c r="F434" s="7"/>
      <c r="G434" s="6"/>
      <c r="H434" s="51"/>
    </row>
    <row r="435" spans="1:8" ht="15">
      <c r="A435" s="3"/>
      <c r="B435" s="9"/>
      <c r="C435" s="6"/>
      <c r="D435" s="6"/>
      <c r="E435" s="6"/>
      <c r="F435" s="7"/>
      <c r="G435" s="6"/>
      <c r="H435" s="51"/>
    </row>
    <row r="436" spans="1:8" ht="15">
      <c r="A436" s="3"/>
      <c r="B436" s="9"/>
      <c r="C436" s="6"/>
      <c r="D436" s="6"/>
      <c r="E436" s="6"/>
      <c r="F436" s="7"/>
      <c r="G436" s="6"/>
      <c r="H436" s="51"/>
    </row>
    <row r="437" spans="1:8" ht="15">
      <c r="A437" s="3"/>
      <c r="B437" s="9"/>
      <c r="C437" s="6"/>
      <c r="D437" s="6"/>
      <c r="E437" s="6"/>
      <c r="F437" s="7"/>
      <c r="G437" s="6"/>
      <c r="H437" s="51"/>
    </row>
    <row r="438" spans="1:8" ht="15">
      <c r="A438" s="3"/>
      <c r="B438" s="9"/>
      <c r="C438" s="6"/>
      <c r="D438" s="6"/>
      <c r="E438" s="6"/>
      <c r="F438" s="7"/>
      <c r="G438" s="6"/>
      <c r="H438" s="51"/>
    </row>
    <row r="439" spans="1:8" ht="15">
      <c r="A439" s="3"/>
      <c r="B439" s="9"/>
      <c r="C439" s="6"/>
      <c r="D439" s="6"/>
      <c r="E439" s="6"/>
      <c r="F439" s="7"/>
      <c r="G439" s="6"/>
      <c r="H439" s="51"/>
    </row>
    <row r="440" spans="1:8" ht="15">
      <c r="A440" s="3"/>
      <c r="B440" s="9"/>
      <c r="C440" s="6"/>
      <c r="D440" s="6"/>
      <c r="E440" s="6"/>
      <c r="F440" s="7"/>
      <c r="G440" s="6"/>
      <c r="H440" s="51"/>
    </row>
    <row r="441" spans="1:8" ht="15">
      <c r="A441" s="3"/>
      <c r="B441" s="9"/>
      <c r="C441" s="6"/>
      <c r="D441" s="6"/>
      <c r="E441" s="6"/>
      <c r="F441" s="7"/>
      <c r="G441" s="6"/>
      <c r="H441" s="51"/>
    </row>
    <row r="442" spans="1:8" ht="15">
      <c r="A442" s="3"/>
      <c r="B442" s="9"/>
      <c r="C442" s="6"/>
      <c r="D442" s="6"/>
      <c r="E442" s="6"/>
      <c r="F442" s="7"/>
      <c r="G442" s="6"/>
      <c r="H442" s="51"/>
    </row>
    <row r="443" spans="1:8" ht="15">
      <c r="A443" s="3"/>
      <c r="B443" s="9"/>
      <c r="C443" s="6"/>
      <c r="D443" s="6"/>
      <c r="E443" s="6"/>
      <c r="F443" s="7"/>
      <c r="G443" s="6"/>
      <c r="H443" s="51"/>
    </row>
    <row r="444" spans="1:8" ht="15">
      <c r="A444" s="3"/>
      <c r="B444" s="9"/>
      <c r="C444" s="6"/>
      <c r="D444" s="6"/>
      <c r="E444" s="6"/>
      <c r="F444" s="7"/>
      <c r="G444" s="6"/>
      <c r="H444" s="51"/>
    </row>
    <row r="445" spans="1:8" ht="15">
      <c r="A445" s="3"/>
      <c r="B445" s="9"/>
      <c r="C445" s="6"/>
      <c r="D445" s="6"/>
      <c r="E445" s="6"/>
      <c r="F445" s="7"/>
      <c r="G445" s="6"/>
      <c r="H445" s="51"/>
    </row>
    <row r="446" spans="1:8" ht="15">
      <c r="A446" s="3"/>
      <c r="B446" s="9"/>
      <c r="C446" s="6"/>
      <c r="D446" s="6"/>
      <c r="E446" s="6"/>
      <c r="F446" s="7"/>
      <c r="G446" s="6"/>
      <c r="H446" s="51"/>
    </row>
    <row r="447" spans="1:8" ht="15">
      <c r="A447" s="3"/>
      <c r="B447" s="9"/>
      <c r="C447" s="6"/>
      <c r="D447" s="6"/>
      <c r="E447" s="6"/>
      <c r="F447" s="7"/>
      <c r="G447" s="6"/>
      <c r="H447" s="51"/>
    </row>
    <row r="448" spans="1:8" ht="15">
      <c r="A448" s="3"/>
      <c r="B448" s="9"/>
      <c r="C448" s="6"/>
      <c r="D448" s="6"/>
      <c r="E448" s="6"/>
      <c r="F448" s="7"/>
      <c r="G448" s="6"/>
      <c r="H448" s="51"/>
    </row>
    <row r="449" spans="1:8" ht="15">
      <c r="A449" s="3"/>
      <c r="B449" s="9"/>
      <c r="C449" s="6"/>
      <c r="D449" s="6"/>
      <c r="E449" s="6"/>
      <c r="F449" s="7"/>
      <c r="G449" s="6"/>
      <c r="H449" s="51"/>
    </row>
    <row r="450" spans="1:8" ht="15">
      <c r="A450" s="3"/>
      <c r="B450" s="9"/>
      <c r="C450" s="6"/>
      <c r="D450" s="6"/>
      <c r="E450" s="6"/>
      <c r="F450" s="7"/>
      <c r="G450" s="6"/>
      <c r="H450" s="51"/>
    </row>
    <row r="451" spans="1:8" ht="15">
      <c r="A451" s="3"/>
      <c r="B451" s="9"/>
      <c r="C451" s="6"/>
      <c r="D451" s="6"/>
      <c r="E451" s="6"/>
      <c r="F451" s="7"/>
      <c r="G451" s="6"/>
      <c r="H451" s="51"/>
    </row>
    <row r="452" spans="1:8" ht="15">
      <c r="A452" s="3"/>
      <c r="B452" s="9"/>
      <c r="C452" s="6"/>
      <c r="D452" s="6"/>
      <c r="E452" s="6"/>
      <c r="F452" s="7"/>
      <c r="G452" s="6"/>
      <c r="H452" s="51"/>
    </row>
    <row r="453" spans="1:8" ht="15">
      <c r="A453" s="3"/>
      <c r="B453" s="9"/>
      <c r="C453" s="6"/>
      <c r="D453" s="6"/>
      <c r="E453" s="6"/>
      <c r="F453" s="7"/>
      <c r="G453" s="6"/>
      <c r="H453" s="51"/>
    </row>
    <row r="454" spans="1:8" ht="15">
      <c r="A454" s="3"/>
      <c r="B454" s="9"/>
      <c r="C454" s="6"/>
      <c r="D454" s="6"/>
      <c r="E454" s="6"/>
      <c r="F454" s="7"/>
      <c r="G454" s="6"/>
      <c r="H454" s="51"/>
    </row>
    <row r="455" spans="1:8" ht="15">
      <c r="A455" s="3"/>
      <c r="B455" s="9"/>
      <c r="C455" s="6"/>
      <c r="D455" s="6"/>
      <c r="E455" s="6"/>
      <c r="F455" s="7"/>
      <c r="G455" s="6"/>
      <c r="H455" s="51"/>
    </row>
    <row r="456" spans="1:8" ht="15">
      <c r="A456" s="3"/>
      <c r="B456" s="9"/>
      <c r="C456" s="6"/>
      <c r="D456" s="6"/>
      <c r="E456" s="6"/>
      <c r="F456" s="7"/>
      <c r="G456" s="6"/>
      <c r="H456" s="51"/>
    </row>
    <row r="457" spans="1:8" ht="15">
      <c r="A457" s="3"/>
      <c r="B457" s="9"/>
      <c r="C457" s="6"/>
      <c r="D457" s="6"/>
      <c r="E457" s="6"/>
      <c r="F457" s="7"/>
      <c r="G457" s="6"/>
      <c r="H457" s="51"/>
    </row>
    <row r="458" spans="1:8" ht="15">
      <c r="A458" s="3"/>
      <c r="B458" s="9"/>
      <c r="C458" s="6"/>
      <c r="D458" s="6"/>
      <c r="E458" s="6"/>
      <c r="F458" s="7"/>
      <c r="G458" s="6"/>
      <c r="H458" s="51"/>
    </row>
    <row r="459" spans="1:8" ht="15">
      <c r="A459" s="3"/>
      <c r="B459" s="9"/>
      <c r="C459" s="6"/>
      <c r="D459" s="6"/>
      <c r="E459" s="6"/>
      <c r="F459" s="7"/>
      <c r="G459" s="6"/>
      <c r="H459" s="51"/>
    </row>
    <row r="460" spans="1:8" ht="15">
      <c r="A460" s="3"/>
      <c r="B460" s="9"/>
      <c r="C460" s="6"/>
      <c r="D460" s="6"/>
      <c r="E460" s="6"/>
      <c r="F460" s="7"/>
      <c r="G460" s="6"/>
      <c r="H460" s="51"/>
    </row>
    <row r="461" spans="1:8" ht="15">
      <c r="A461" s="3"/>
      <c r="B461" s="9"/>
      <c r="C461" s="6"/>
      <c r="D461" s="6"/>
      <c r="E461" s="6"/>
      <c r="F461" s="7"/>
      <c r="G461" s="6"/>
      <c r="H461" s="51"/>
    </row>
    <row r="462" spans="1:8" ht="15">
      <c r="A462" s="3"/>
      <c r="B462" s="9"/>
      <c r="C462" s="6"/>
      <c r="D462" s="6"/>
      <c r="E462" s="6"/>
      <c r="F462" s="7"/>
      <c r="G462" s="6"/>
      <c r="H462" s="5"/>
    </row>
    <row r="463" spans="1:8" ht="15">
      <c r="A463" s="3"/>
      <c r="B463" s="9"/>
      <c r="C463" s="6"/>
      <c r="D463" s="6"/>
      <c r="E463" s="6"/>
      <c r="F463" s="7"/>
      <c r="G463" s="6"/>
      <c r="H463" s="5"/>
    </row>
    <row r="464" spans="1:8" ht="15">
      <c r="A464" s="3"/>
      <c r="B464" s="9"/>
      <c r="C464" s="6"/>
      <c r="D464" s="6"/>
      <c r="E464" s="6"/>
      <c r="F464" s="7"/>
      <c r="G464" s="6"/>
      <c r="H464" s="5"/>
    </row>
    <row r="465" spans="1:8" ht="15">
      <c r="A465" s="3"/>
      <c r="B465" s="9"/>
      <c r="C465" s="6"/>
      <c r="D465" s="6"/>
      <c r="E465" s="6"/>
      <c r="F465" s="7"/>
      <c r="G465" s="6"/>
      <c r="H465" s="5"/>
    </row>
    <row r="466" spans="1:8" ht="15">
      <c r="A466" s="3"/>
      <c r="B466" s="9"/>
      <c r="C466" s="6"/>
      <c r="D466" s="6"/>
      <c r="E466" s="6"/>
      <c r="F466" s="7"/>
      <c r="G466" s="6"/>
      <c r="H466" s="5"/>
    </row>
    <row r="467" spans="1:8" ht="15">
      <c r="A467" s="3"/>
      <c r="B467" s="9"/>
      <c r="C467" s="6"/>
      <c r="D467" s="6"/>
      <c r="E467" s="6"/>
      <c r="F467" s="7"/>
      <c r="G467" s="6"/>
      <c r="H467" s="5"/>
    </row>
    <row r="468" spans="1:8" ht="15">
      <c r="A468" s="3"/>
      <c r="B468" s="9"/>
      <c r="C468" s="6"/>
      <c r="D468" s="6"/>
      <c r="E468" s="6"/>
      <c r="F468" s="7"/>
      <c r="G468" s="6"/>
      <c r="H468" s="5"/>
    </row>
    <row r="469" spans="1:8" ht="15">
      <c r="A469" s="3"/>
      <c r="B469" s="9"/>
      <c r="C469" s="6"/>
      <c r="D469" s="6"/>
      <c r="E469" s="6"/>
      <c r="F469" s="7"/>
      <c r="G469" s="6"/>
      <c r="H469" s="5"/>
    </row>
    <row r="470" spans="1:8" ht="15">
      <c r="A470" s="3"/>
      <c r="B470" s="9"/>
      <c r="C470" s="6"/>
      <c r="D470" s="6"/>
      <c r="E470" s="6"/>
      <c r="F470" s="7"/>
      <c r="G470" s="6"/>
      <c r="H470" s="5"/>
    </row>
    <row r="471" spans="1:8" ht="15">
      <c r="A471" s="3"/>
      <c r="B471" s="9"/>
      <c r="C471" s="6"/>
      <c r="D471" s="6"/>
      <c r="E471" s="6"/>
      <c r="F471" s="7"/>
      <c r="G471" s="6"/>
      <c r="H471" s="5"/>
    </row>
    <row r="472" spans="1:8" ht="15">
      <c r="A472" s="3"/>
      <c r="B472" s="9"/>
      <c r="C472" s="6"/>
      <c r="D472" s="6"/>
      <c r="E472" s="6"/>
      <c r="F472" s="7"/>
      <c r="G472" s="6"/>
      <c r="H472" s="5"/>
    </row>
    <row r="473" spans="1:8" ht="15">
      <c r="A473" s="3"/>
      <c r="B473" s="9"/>
      <c r="C473" s="6"/>
      <c r="D473" s="6"/>
      <c r="E473" s="6"/>
      <c r="F473" s="7"/>
      <c r="G473" s="6"/>
      <c r="H473" s="5"/>
    </row>
    <row r="474" spans="1:8" ht="15">
      <c r="A474" s="3"/>
      <c r="B474" s="9"/>
      <c r="C474" s="6"/>
      <c r="D474" s="6"/>
      <c r="E474" s="6"/>
      <c r="F474" s="7"/>
      <c r="G474" s="6"/>
      <c r="H474" s="5"/>
    </row>
    <row r="475" spans="1:8" ht="15">
      <c r="A475" s="3"/>
      <c r="B475" s="9"/>
      <c r="C475" s="6"/>
      <c r="D475" s="6"/>
      <c r="E475" s="6"/>
      <c r="F475" s="7"/>
      <c r="G475" s="6"/>
      <c r="H475" s="5"/>
    </row>
    <row r="476" spans="1:8" ht="15">
      <c r="A476" s="3"/>
      <c r="B476" s="9"/>
      <c r="C476" s="6"/>
      <c r="D476" s="6"/>
      <c r="E476" s="6"/>
      <c r="F476" s="7"/>
      <c r="G476" s="6"/>
      <c r="H476" s="5"/>
    </row>
    <row r="477" spans="1:8" ht="15">
      <c r="A477" s="3"/>
      <c r="B477" s="9"/>
      <c r="C477" s="6"/>
      <c r="D477" s="6"/>
      <c r="E477" s="6"/>
      <c r="F477" s="7"/>
      <c r="G477" s="6"/>
      <c r="H477" s="5"/>
    </row>
    <row r="478" spans="1:8" ht="15">
      <c r="A478" s="3"/>
      <c r="B478" s="9"/>
      <c r="C478" s="6"/>
      <c r="D478" s="6"/>
      <c r="E478" s="6"/>
      <c r="F478" s="7"/>
      <c r="G478" s="6"/>
      <c r="H478" s="5"/>
    </row>
    <row r="479" spans="1:8" ht="15">
      <c r="A479" s="3"/>
      <c r="B479" s="9"/>
      <c r="C479" s="6"/>
      <c r="D479" s="6"/>
      <c r="E479" s="6"/>
      <c r="F479" s="7"/>
      <c r="G479" s="6"/>
      <c r="H479" s="5"/>
    </row>
    <row r="480" spans="1:8" ht="15">
      <c r="A480" s="3"/>
      <c r="B480" s="9"/>
      <c r="C480" s="6"/>
      <c r="D480" s="6"/>
      <c r="E480" s="6"/>
      <c r="F480" s="7"/>
      <c r="G480" s="6"/>
      <c r="H480" s="5"/>
    </row>
    <row r="481" spans="1:8" ht="15">
      <c r="A481" s="3"/>
      <c r="B481" s="9"/>
      <c r="C481" s="6"/>
      <c r="D481" s="6"/>
      <c r="E481" s="6"/>
      <c r="F481" s="7"/>
      <c r="G481" s="6"/>
      <c r="H481" s="5"/>
    </row>
    <row r="482" spans="1:8" ht="15">
      <c r="A482" s="3"/>
      <c r="B482" s="9"/>
      <c r="C482" s="6"/>
      <c r="D482" s="6"/>
      <c r="E482" s="6"/>
      <c r="F482" s="7"/>
      <c r="G482" s="6"/>
      <c r="H482" s="5"/>
    </row>
    <row r="483" spans="1:8" ht="15">
      <c r="A483" s="3"/>
      <c r="B483" s="9"/>
      <c r="C483" s="6"/>
      <c r="D483" s="6"/>
      <c r="E483" s="6"/>
      <c r="F483" s="7"/>
      <c r="G483" s="6"/>
      <c r="H483" s="5"/>
    </row>
    <row r="484" spans="1:8" ht="15">
      <c r="A484" s="3"/>
      <c r="B484" s="9"/>
      <c r="C484" s="6"/>
      <c r="D484" s="6"/>
      <c r="E484" s="6"/>
      <c r="F484" s="7"/>
      <c r="G484" s="6"/>
      <c r="H484" s="5"/>
    </row>
    <row r="485" spans="1:8" ht="15">
      <c r="A485" s="3"/>
      <c r="B485" s="9"/>
      <c r="C485" s="6"/>
      <c r="D485" s="6"/>
      <c r="E485" s="6"/>
      <c r="F485" s="7"/>
      <c r="G485" s="6"/>
      <c r="H485" s="5"/>
    </row>
    <row r="486" spans="1:8" ht="15">
      <c r="A486" s="3"/>
      <c r="B486" s="9"/>
      <c r="C486" s="6"/>
      <c r="D486" s="6"/>
      <c r="E486" s="6"/>
      <c r="F486" s="7"/>
      <c r="G486" s="6"/>
      <c r="H486" s="5"/>
    </row>
    <row r="487" spans="1:8" ht="15">
      <c r="A487" s="3"/>
      <c r="B487" s="9"/>
      <c r="C487" s="6"/>
      <c r="D487" s="6"/>
      <c r="E487" s="6"/>
      <c r="F487" s="7"/>
      <c r="G487" s="6"/>
      <c r="H487" s="5"/>
    </row>
    <row r="488" spans="1:8" ht="15">
      <c r="A488" s="3"/>
      <c r="B488" s="9"/>
      <c r="C488" s="6"/>
      <c r="D488" s="6"/>
      <c r="E488" s="6"/>
      <c r="F488" s="7"/>
      <c r="G488" s="6"/>
      <c r="H488" s="5"/>
    </row>
    <row r="489" spans="1:8" ht="15">
      <c r="A489" s="3"/>
      <c r="B489" s="9"/>
      <c r="C489" s="6"/>
      <c r="D489" s="6"/>
      <c r="E489" s="6"/>
      <c r="F489" s="7"/>
      <c r="G489" s="6"/>
      <c r="H489" s="5"/>
    </row>
    <row r="490" spans="1:8" ht="15">
      <c r="A490" s="3"/>
      <c r="B490" s="9"/>
      <c r="C490" s="6"/>
      <c r="D490" s="6"/>
      <c r="E490" s="6"/>
      <c r="F490" s="7"/>
      <c r="G490" s="6"/>
      <c r="H490" s="5"/>
    </row>
    <row r="491" spans="1:8" ht="15">
      <c r="A491" s="3"/>
      <c r="B491" s="9"/>
      <c r="C491" s="6"/>
      <c r="D491" s="6"/>
      <c r="E491" s="6"/>
      <c r="F491" s="7"/>
      <c r="G491" s="6"/>
      <c r="H491" s="5"/>
    </row>
    <row r="492" spans="1:8" ht="15">
      <c r="A492" s="3"/>
      <c r="B492" s="9"/>
      <c r="C492" s="6"/>
      <c r="D492" s="6"/>
      <c r="E492" s="6"/>
      <c r="F492" s="7"/>
      <c r="G492" s="6"/>
      <c r="H492" s="5"/>
    </row>
    <row r="493" spans="1:8" ht="15">
      <c r="A493" s="3"/>
      <c r="B493" s="9"/>
      <c r="C493" s="6"/>
      <c r="D493" s="6"/>
      <c r="E493" s="6"/>
      <c r="F493" s="7"/>
      <c r="G493" s="6"/>
      <c r="H493" s="5"/>
    </row>
    <row r="494" spans="1:8" ht="15">
      <c r="A494" s="3"/>
      <c r="B494" s="9"/>
      <c r="C494" s="6"/>
      <c r="D494" s="6"/>
      <c r="E494" s="6"/>
      <c r="F494" s="7"/>
      <c r="G494" s="6"/>
      <c r="H494" s="5"/>
    </row>
    <row r="495" spans="1:8" ht="15">
      <c r="A495" s="3"/>
      <c r="B495" s="9"/>
      <c r="C495" s="6"/>
      <c r="D495" s="6"/>
      <c r="E495" s="6"/>
      <c r="F495" s="7"/>
      <c r="G495" s="6"/>
      <c r="H495" s="5"/>
    </row>
    <row r="496" spans="1:8" ht="15">
      <c r="A496" s="3"/>
      <c r="B496" s="9"/>
      <c r="C496" s="6"/>
      <c r="D496" s="6"/>
      <c r="E496" s="6"/>
      <c r="F496" s="7"/>
      <c r="G496" s="6"/>
      <c r="H496" s="5"/>
    </row>
    <row r="497" spans="1:8" ht="15">
      <c r="A497" s="3"/>
      <c r="B497" s="9"/>
      <c r="C497" s="6"/>
      <c r="D497" s="6"/>
      <c r="E497" s="6"/>
      <c r="F497" s="7"/>
      <c r="G497" s="6"/>
      <c r="H497" s="5"/>
    </row>
    <row r="498" spans="1:8" ht="15">
      <c r="A498" s="3"/>
      <c r="B498" s="9"/>
      <c r="C498" s="6"/>
      <c r="D498" s="6"/>
      <c r="E498" s="6"/>
      <c r="F498" s="7"/>
      <c r="G498" s="6"/>
      <c r="H498" s="5"/>
    </row>
    <row r="499" spans="1:8" ht="15">
      <c r="A499" s="3"/>
      <c r="B499" s="9"/>
      <c r="C499" s="6"/>
      <c r="D499" s="6"/>
      <c r="E499" s="6"/>
      <c r="F499" s="7"/>
      <c r="G499" s="6"/>
      <c r="H499" s="5"/>
    </row>
    <row r="500" spans="1:8" ht="15">
      <c r="A500" s="3"/>
      <c r="B500" s="9"/>
      <c r="C500" s="6"/>
      <c r="D500" s="6"/>
      <c r="E500" s="6"/>
      <c r="F500" s="7"/>
      <c r="G500" s="6"/>
      <c r="H500" s="5"/>
    </row>
    <row r="501" spans="1:8" ht="15">
      <c r="A501" s="3"/>
      <c r="B501" s="9"/>
      <c r="C501" s="6"/>
      <c r="D501" s="6"/>
      <c r="E501" s="6"/>
      <c r="F501" s="7"/>
      <c r="G501" s="6"/>
      <c r="H501" s="5"/>
    </row>
    <row r="502" spans="1:8" ht="15">
      <c r="A502" s="3"/>
      <c r="B502" s="9"/>
      <c r="C502" s="6"/>
      <c r="D502" s="6"/>
      <c r="E502" s="6"/>
      <c r="F502" s="7"/>
      <c r="G502" s="6"/>
      <c r="H502" s="5"/>
    </row>
    <row r="503" spans="1:8" ht="15">
      <c r="A503" s="3"/>
      <c r="B503" s="9"/>
      <c r="C503" s="6"/>
      <c r="D503" s="6"/>
      <c r="E503" s="6"/>
      <c r="F503" s="7"/>
      <c r="G503" s="6"/>
      <c r="H503" s="5"/>
    </row>
    <row r="504" spans="1:8" ht="15">
      <c r="A504" s="3"/>
      <c r="B504" s="9"/>
      <c r="C504" s="6"/>
      <c r="D504" s="6"/>
      <c r="E504" s="6"/>
      <c r="F504" s="7"/>
      <c r="G504" s="6"/>
      <c r="H504" s="5"/>
    </row>
    <row r="505" spans="1:8" ht="15">
      <c r="A505" s="3"/>
      <c r="B505" s="9"/>
      <c r="C505" s="6"/>
      <c r="D505" s="6"/>
      <c r="E505" s="6"/>
      <c r="F505" s="7"/>
      <c r="G505" s="6"/>
      <c r="H505" s="5"/>
    </row>
    <row r="506" spans="1:8" ht="15">
      <c r="A506" s="3"/>
      <c r="B506" s="9"/>
      <c r="C506" s="6"/>
      <c r="D506" s="6"/>
      <c r="E506" s="6"/>
      <c r="F506" s="7"/>
      <c r="G506" s="6"/>
      <c r="H506" s="5"/>
    </row>
    <row r="507" spans="1:8" ht="15">
      <c r="A507" s="3"/>
      <c r="B507" s="9"/>
      <c r="C507" s="6"/>
      <c r="D507" s="6"/>
      <c r="E507" s="6"/>
      <c r="F507" s="7"/>
      <c r="G507" s="6"/>
      <c r="H507" s="5"/>
    </row>
    <row r="508" spans="1:8" ht="15">
      <c r="A508" s="3"/>
      <c r="B508" s="9"/>
      <c r="C508" s="6"/>
      <c r="D508" s="6"/>
      <c r="E508" s="6"/>
      <c r="F508" s="7"/>
      <c r="G508" s="6"/>
      <c r="H508" s="5"/>
    </row>
    <row r="509" spans="1:8" ht="15">
      <c r="A509" s="3"/>
      <c r="B509" s="9"/>
      <c r="C509" s="6"/>
      <c r="D509" s="6"/>
      <c r="E509" s="6"/>
      <c r="F509" s="7"/>
      <c r="G509" s="6"/>
      <c r="H509" s="5"/>
    </row>
    <row r="510" spans="1:8" ht="15">
      <c r="A510" s="3"/>
      <c r="B510" s="9"/>
      <c r="C510" s="6"/>
      <c r="D510" s="6"/>
      <c r="E510" s="6"/>
      <c r="F510" s="7"/>
      <c r="G510" s="6"/>
      <c r="H510" s="5"/>
    </row>
    <row r="511" spans="1:8" ht="15">
      <c r="A511" s="3"/>
      <c r="B511" s="9"/>
      <c r="C511" s="6"/>
      <c r="D511" s="6"/>
      <c r="E511" s="6"/>
      <c r="F511" s="7"/>
      <c r="G511" s="6"/>
      <c r="H511" s="5"/>
    </row>
    <row r="512" spans="1:8" ht="15">
      <c r="A512" s="3"/>
      <c r="B512" s="9"/>
      <c r="C512" s="6"/>
      <c r="D512" s="6"/>
      <c r="E512" s="6"/>
      <c r="F512" s="7"/>
      <c r="G512" s="6"/>
      <c r="H512" s="5"/>
    </row>
    <row r="513" spans="1:8" ht="15">
      <c r="A513" s="3"/>
      <c r="B513" s="9"/>
      <c r="C513" s="6"/>
      <c r="D513" s="6"/>
      <c r="E513" s="6"/>
      <c r="F513" s="7"/>
      <c r="G513" s="6"/>
      <c r="H513" s="5"/>
    </row>
    <row r="514" spans="1:8" ht="15">
      <c r="A514" s="3"/>
      <c r="B514" s="9"/>
      <c r="C514" s="6"/>
      <c r="D514" s="6"/>
      <c r="E514" s="6"/>
      <c r="F514" s="7"/>
      <c r="G514" s="6"/>
      <c r="H514" s="5"/>
    </row>
    <row r="515" spans="1:8" ht="15">
      <c r="A515" s="3"/>
      <c r="B515" s="9"/>
      <c r="C515" s="6"/>
      <c r="D515" s="6"/>
      <c r="E515" s="6"/>
      <c r="F515" s="7"/>
      <c r="G515" s="6"/>
      <c r="H515" s="5"/>
    </row>
    <row r="516" spans="1:8" ht="15">
      <c r="A516" s="3"/>
      <c r="B516" s="9"/>
      <c r="C516" s="6"/>
      <c r="D516" s="6"/>
      <c r="E516" s="6"/>
      <c r="F516" s="7"/>
      <c r="G516" s="6"/>
      <c r="H516" s="5"/>
    </row>
    <row r="517" spans="1:8" ht="15">
      <c r="A517" s="3"/>
      <c r="B517" s="9"/>
      <c r="C517" s="6"/>
      <c r="D517" s="6"/>
      <c r="E517" s="6"/>
      <c r="F517" s="7"/>
      <c r="G517" s="6"/>
      <c r="H517" s="5"/>
    </row>
    <row r="518" spans="1:8" ht="15">
      <c r="A518" s="3"/>
      <c r="B518" s="9"/>
      <c r="C518" s="6"/>
      <c r="D518" s="6"/>
      <c r="E518" s="6"/>
      <c r="F518" s="7"/>
      <c r="G518" s="6"/>
      <c r="H518" s="5"/>
    </row>
    <row r="519" spans="1:8" ht="15">
      <c r="A519" s="3"/>
      <c r="B519" s="9"/>
      <c r="C519" s="6"/>
      <c r="D519" s="6"/>
      <c r="E519" s="6"/>
      <c r="F519" s="7"/>
      <c r="G519" s="6"/>
      <c r="H519" s="5"/>
    </row>
    <row r="520" spans="1:8" ht="15">
      <c r="A520" s="3"/>
      <c r="B520" s="9"/>
      <c r="C520" s="6"/>
      <c r="D520" s="6"/>
      <c r="E520" s="6"/>
      <c r="F520" s="7"/>
      <c r="G520" s="6"/>
      <c r="H520" s="5"/>
    </row>
    <row r="521" spans="1:8" ht="15">
      <c r="A521" s="3"/>
      <c r="B521" s="9"/>
      <c r="C521" s="6"/>
      <c r="D521" s="6"/>
      <c r="E521" s="6"/>
      <c r="F521" s="7"/>
      <c r="G521" s="6"/>
      <c r="H521" s="5"/>
    </row>
    <row r="522" spans="1:8" ht="15">
      <c r="A522" s="3"/>
      <c r="B522" s="9"/>
      <c r="C522" s="6"/>
      <c r="D522" s="6"/>
      <c r="E522" s="6"/>
      <c r="F522" s="7"/>
      <c r="G522" s="6"/>
      <c r="H522" s="5"/>
    </row>
    <row r="523" spans="1:8" ht="15">
      <c r="A523" s="3"/>
      <c r="B523" s="9"/>
      <c r="C523" s="6"/>
      <c r="D523" s="6"/>
      <c r="E523" s="6"/>
      <c r="F523" s="7"/>
      <c r="G523" s="6"/>
      <c r="H523" s="5"/>
    </row>
    <row r="524" spans="1:8" ht="15">
      <c r="A524" s="3"/>
      <c r="B524" s="9"/>
      <c r="C524" s="6"/>
      <c r="D524" s="6"/>
      <c r="E524" s="6"/>
      <c r="F524" s="7"/>
      <c r="G524" s="6"/>
      <c r="H524" s="5"/>
    </row>
    <row r="525" spans="1:8" ht="15">
      <c r="A525" s="3"/>
      <c r="B525" s="9"/>
      <c r="C525" s="6"/>
      <c r="D525" s="6"/>
      <c r="E525" s="6"/>
      <c r="F525" s="7"/>
      <c r="G525" s="6"/>
      <c r="H525" s="5"/>
    </row>
    <row r="526" spans="1:8" ht="15">
      <c r="A526" s="3"/>
      <c r="B526" s="9"/>
      <c r="C526" s="6"/>
      <c r="D526" s="6"/>
      <c r="E526" s="6"/>
      <c r="F526" s="7"/>
      <c r="G526" s="6"/>
      <c r="H526" s="5"/>
    </row>
    <row r="527" spans="1:8" ht="15">
      <c r="A527" s="3"/>
      <c r="B527" s="9"/>
      <c r="C527" s="6"/>
      <c r="D527" s="6"/>
      <c r="E527" s="6"/>
      <c r="F527" s="7"/>
      <c r="G527" s="6"/>
      <c r="H527" s="5"/>
    </row>
    <row r="528" spans="1:8" ht="15">
      <c r="A528" s="3"/>
      <c r="B528" s="9"/>
      <c r="C528" s="6"/>
      <c r="D528" s="6"/>
      <c r="E528" s="6"/>
      <c r="F528" s="7"/>
      <c r="G528" s="6"/>
      <c r="H528" s="5"/>
    </row>
    <row r="529" spans="1:8" ht="15">
      <c r="A529" s="3"/>
      <c r="B529" s="9"/>
      <c r="C529" s="6"/>
      <c r="D529" s="6"/>
      <c r="E529" s="6"/>
      <c r="F529" s="7"/>
      <c r="G529" s="6"/>
      <c r="H529" s="5"/>
    </row>
    <row r="530" spans="1:8" ht="15">
      <c r="A530" s="3"/>
      <c r="B530" s="9"/>
      <c r="C530" s="6"/>
      <c r="D530" s="6"/>
      <c r="E530" s="6"/>
      <c r="F530" s="7"/>
      <c r="G530" s="6"/>
      <c r="H530" s="5"/>
    </row>
    <row r="531" spans="1:8" ht="15">
      <c r="A531" s="3"/>
      <c r="B531" s="9"/>
      <c r="C531" s="6"/>
      <c r="D531" s="6"/>
      <c r="E531" s="6"/>
      <c r="F531" s="7"/>
      <c r="G531" s="6"/>
      <c r="H531" s="5"/>
    </row>
    <row r="532" spans="1:8" ht="15">
      <c r="A532" s="3"/>
      <c r="B532" s="9"/>
      <c r="C532" s="6"/>
      <c r="D532" s="6"/>
      <c r="E532" s="6"/>
      <c r="F532" s="7"/>
      <c r="G532" s="6"/>
      <c r="H532" s="5"/>
    </row>
    <row r="533" spans="1:8" ht="15">
      <c r="A533" s="3"/>
      <c r="B533" s="9"/>
      <c r="C533" s="6"/>
      <c r="D533" s="6"/>
      <c r="E533" s="6"/>
      <c r="F533" s="7"/>
      <c r="G533" s="6"/>
      <c r="H533" s="5"/>
    </row>
    <row r="534" spans="1:8" ht="15">
      <c r="A534" s="3"/>
      <c r="B534" s="9"/>
      <c r="C534" s="6"/>
      <c r="D534" s="6"/>
      <c r="E534" s="6"/>
      <c r="F534" s="7"/>
      <c r="G534" s="6"/>
      <c r="H534" s="5"/>
    </row>
    <row r="535" spans="1:8" ht="15">
      <c r="A535" s="3"/>
      <c r="B535" s="9"/>
      <c r="C535" s="6"/>
      <c r="D535" s="6"/>
      <c r="E535" s="6"/>
      <c r="F535" s="7"/>
      <c r="G535" s="6"/>
      <c r="H535" s="5"/>
    </row>
    <row r="536" spans="1:8" ht="15">
      <c r="A536" s="3"/>
      <c r="B536" s="9"/>
      <c r="C536" s="6"/>
      <c r="D536" s="6"/>
      <c r="E536" s="6"/>
      <c r="F536" s="7"/>
      <c r="G536" s="6"/>
      <c r="H536" s="5"/>
    </row>
    <row r="537" spans="1:8" ht="15">
      <c r="A537" s="3"/>
      <c r="B537" s="9"/>
      <c r="C537" s="6"/>
      <c r="D537" s="6"/>
      <c r="E537" s="6"/>
      <c r="F537" s="7"/>
      <c r="G537" s="6"/>
      <c r="H537" s="5"/>
    </row>
    <row r="538" spans="1:8" ht="15">
      <c r="A538" s="3"/>
      <c r="B538" s="9"/>
      <c r="C538" s="6"/>
      <c r="D538" s="6"/>
      <c r="E538" s="6"/>
      <c r="F538" s="7"/>
      <c r="G538" s="6"/>
      <c r="H538" s="5"/>
    </row>
    <row r="539" spans="1:8" ht="15">
      <c r="A539" s="3"/>
      <c r="B539" s="9"/>
      <c r="C539" s="6"/>
      <c r="D539" s="6"/>
      <c r="E539" s="6"/>
      <c r="F539" s="7"/>
      <c r="G539" s="6"/>
      <c r="H539" s="5"/>
    </row>
    <row r="540" spans="1:8" ht="15">
      <c r="A540" s="3"/>
      <c r="B540" s="9"/>
      <c r="C540" s="6"/>
      <c r="D540" s="6"/>
      <c r="E540" s="6"/>
      <c r="F540" s="7"/>
      <c r="G540" s="6"/>
      <c r="H540" s="5"/>
    </row>
    <row r="541" spans="1:8" ht="15">
      <c r="A541" s="3"/>
      <c r="B541" s="9"/>
      <c r="C541" s="6"/>
      <c r="D541" s="6"/>
      <c r="E541" s="6"/>
      <c r="F541" s="7"/>
      <c r="G541" s="6"/>
      <c r="H541" s="5"/>
    </row>
    <row r="542" spans="1:8" ht="15">
      <c r="A542" s="3"/>
      <c r="B542" s="9"/>
      <c r="C542" s="6"/>
      <c r="D542" s="6"/>
      <c r="E542" s="6"/>
      <c r="F542" s="7"/>
      <c r="G542" s="6"/>
      <c r="H542" s="5"/>
    </row>
    <row r="543" spans="1:8" ht="15">
      <c r="A543" s="3"/>
      <c r="B543" s="9"/>
      <c r="C543" s="6"/>
      <c r="D543" s="6"/>
      <c r="E543" s="6"/>
      <c r="F543" s="7"/>
      <c r="G543" s="6"/>
      <c r="H543" s="5"/>
    </row>
    <row r="544" spans="1:8" ht="15">
      <c r="A544" s="3"/>
      <c r="B544" s="9"/>
      <c r="C544" s="6"/>
      <c r="D544" s="6"/>
      <c r="E544" s="6"/>
      <c r="F544" s="7"/>
      <c r="G544" s="6"/>
      <c r="H544" s="5"/>
    </row>
    <row r="545" spans="1:8" ht="15">
      <c r="A545" s="3"/>
      <c r="B545" s="9"/>
      <c r="C545" s="6"/>
      <c r="D545" s="6"/>
      <c r="E545" s="6"/>
      <c r="F545" s="7"/>
      <c r="G545" s="6"/>
      <c r="H545" s="5"/>
    </row>
    <row r="546" spans="1:8" ht="15">
      <c r="A546" s="3"/>
      <c r="B546" s="9"/>
      <c r="C546" s="6"/>
      <c r="D546" s="6"/>
      <c r="E546" s="6"/>
      <c r="F546" s="7"/>
      <c r="G546" s="6"/>
      <c r="H546" s="5"/>
    </row>
    <row r="547" spans="1:8" ht="15">
      <c r="A547" s="3"/>
      <c r="B547" s="9"/>
      <c r="C547" s="6"/>
      <c r="D547" s="6"/>
      <c r="E547" s="6"/>
      <c r="F547" s="7"/>
      <c r="G547" s="6"/>
      <c r="H547" s="5"/>
    </row>
    <row r="548" spans="1:8" ht="15">
      <c r="A548" s="3"/>
      <c r="B548" s="9"/>
      <c r="C548" s="6"/>
      <c r="D548" s="6"/>
      <c r="E548" s="6"/>
      <c r="F548" s="7"/>
      <c r="G548" s="6"/>
      <c r="H548" s="5"/>
    </row>
    <row r="549" spans="1:8" ht="15">
      <c r="A549" s="3"/>
      <c r="B549" s="9"/>
      <c r="C549" s="6"/>
      <c r="D549" s="6"/>
      <c r="E549" s="6"/>
      <c r="F549" s="7"/>
      <c r="G549" s="6"/>
      <c r="H549" s="5"/>
    </row>
    <row r="550" spans="1:8" ht="15">
      <c r="A550" s="3"/>
      <c r="B550" s="9"/>
      <c r="C550" s="6"/>
      <c r="D550" s="6"/>
      <c r="E550" s="6"/>
      <c r="F550" s="7"/>
      <c r="G550" s="6"/>
      <c r="H550" s="5"/>
    </row>
    <row r="551" spans="1:8" ht="15">
      <c r="A551" s="3"/>
      <c r="B551" s="9"/>
      <c r="C551" s="6"/>
      <c r="D551" s="6"/>
      <c r="E551" s="6"/>
      <c r="F551" s="7"/>
      <c r="G551" s="6"/>
      <c r="H551" s="5"/>
    </row>
    <row r="552" spans="1:8" ht="15">
      <c r="A552" s="3"/>
      <c r="B552" s="9"/>
      <c r="C552" s="6"/>
      <c r="D552" s="6"/>
      <c r="E552" s="6"/>
      <c r="F552" s="7"/>
      <c r="G552" s="6"/>
      <c r="H552" s="5"/>
    </row>
    <row r="553" spans="1:8" ht="15">
      <c r="A553" s="3"/>
      <c r="B553" s="9"/>
      <c r="C553" s="6"/>
      <c r="D553" s="6"/>
      <c r="E553" s="6"/>
      <c r="F553" s="7"/>
      <c r="G553" s="6"/>
      <c r="H553" s="5"/>
    </row>
    <row r="554" spans="1:8" ht="15">
      <c r="A554" s="3"/>
      <c r="B554" s="9"/>
      <c r="C554" s="6"/>
      <c r="D554" s="6"/>
      <c r="E554" s="6"/>
      <c r="F554" s="7"/>
      <c r="G554" s="6"/>
      <c r="H554" s="5"/>
    </row>
    <row r="555" spans="1:8" ht="15">
      <c r="A555" s="3"/>
      <c r="B555" s="9"/>
      <c r="C555" s="6"/>
      <c r="D555" s="6"/>
      <c r="E555" s="6"/>
      <c r="F555" s="7"/>
      <c r="G555" s="6"/>
      <c r="H555" s="5"/>
    </row>
    <row r="556" spans="1:8" ht="15">
      <c r="A556" s="3"/>
      <c r="B556" s="9"/>
      <c r="C556" s="6"/>
      <c r="D556" s="6"/>
      <c r="E556" s="6"/>
      <c r="F556" s="7"/>
      <c r="G556" s="6"/>
      <c r="H556" s="5"/>
    </row>
    <row r="557" spans="1:8" ht="15">
      <c r="A557" s="3"/>
      <c r="B557" s="9"/>
      <c r="C557" s="6"/>
      <c r="D557" s="6"/>
      <c r="E557" s="6"/>
      <c r="F557" s="7"/>
      <c r="G557" s="6"/>
      <c r="H557" s="5"/>
    </row>
    <row r="558" spans="1:8" ht="15">
      <c r="A558" s="3"/>
      <c r="B558" s="9"/>
      <c r="C558" s="6"/>
      <c r="D558" s="6"/>
      <c r="E558" s="6"/>
      <c r="F558" s="7"/>
      <c r="G558" s="6"/>
      <c r="H558" s="5"/>
    </row>
    <row r="559" spans="1:8" ht="15">
      <c r="A559" s="3"/>
      <c r="B559" s="9"/>
      <c r="C559" s="6"/>
      <c r="D559" s="6"/>
      <c r="E559" s="6"/>
      <c r="F559" s="7"/>
      <c r="G559" s="6"/>
      <c r="H559" s="5"/>
    </row>
    <row r="560" spans="1:8" ht="15">
      <c r="A560" s="3"/>
      <c r="B560" s="9"/>
      <c r="C560" s="6"/>
      <c r="D560" s="6"/>
      <c r="E560" s="6"/>
      <c r="F560" s="7"/>
      <c r="G560" s="6"/>
      <c r="H560" s="5"/>
    </row>
    <row r="561" spans="1:8" ht="15">
      <c r="A561" s="3"/>
      <c r="B561" s="9"/>
      <c r="C561" s="6"/>
      <c r="D561" s="6"/>
      <c r="E561" s="6"/>
      <c r="F561" s="7"/>
      <c r="G561" s="6"/>
      <c r="H561" s="5"/>
    </row>
    <row r="562" spans="1:8" ht="15">
      <c r="A562" s="3"/>
      <c r="B562" s="9"/>
      <c r="C562" s="6"/>
      <c r="D562" s="6"/>
      <c r="E562" s="6"/>
      <c r="F562" s="7"/>
      <c r="G562" s="6"/>
      <c r="H562" s="5"/>
    </row>
    <row r="563" spans="1:8" ht="15">
      <c r="A563" s="3"/>
      <c r="B563" s="9"/>
      <c r="C563" s="6"/>
      <c r="D563" s="6"/>
      <c r="E563" s="6"/>
      <c r="F563" s="7"/>
      <c r="G563" s="6"/>
      <c r="H563" s="5"/>
    </row>
    <row r="564" spans="1:8" ht="15">
      <c r="A564" s="3"/>
      <c r="B564" s="9"/>
      <c r="C564" s="6"/>
      <c r="D564" s="6"/>
      <c r="E564" s="6"/>
      <c r="F564" s="7"/>
      <c r="G564" s="6"/>
      <c r="H564" s="5"/>
    </row>
    <row r="565" spans="1:8" ht="15">
      <c r="A565" s="3"/>
      <c r="B565" s="9"/>
      <c r="C565" s="6"/>
      <c r="D565" s="6"/>
      <c r="E565" s="6"/>
      <c r="F565" s="7"/>
      <c r="G565" s="6"/>
      <c r="H565" s="5"/>
    </row>
    <row r="566" spans="1:8" ht="15">
      <c r="A566" s="3"/>
      <c r="B566" s="9"/>
      <c r="C566" s="6"/>
      <c r="D566" s="6"/>
      <c r="E566" s="6"/>
      <c r="F566" s="7"/>
      <c r="G566" s="6"/>
      <c r="H566" s="5"/>
    </row>
    <row r="567" spans="1:8" ht="15">
      <c r="A567" s="3"/>
      <c r="B567" s="9"/>
      <c r="C567" s="6"/>
      <c r="D567" s="6"/>
      <c r="E567" s="6"/>
      <c r="F567" s="7"/>
      <c r="G567" s="6"/>
      <c r="H567" s="5"/>
    </row>
    <row r="568" spans="1:8" ht="15">
      <c r="A568" s="3"/>
      <c r="B568" s="9"/>
      <c r="C568" s="6"/>
      <c r="D568" s="6"/>
      <c r="E568" s="6"/>
      <c r="F568" s="7"/>
      <c r="G568" s="6"/>
      <c r="H568" s="5"/>
    </row>
    <row r="569" spans="1:8" ht="15">
      <c r="A569" s="3"/>
      <c r="B569" s="9"/>
      <c r="C569" s="6"/>
      <c r="D569" s="6"/>
      <c r="E569" s="6"/>
      <c r="F569" s="7"/>
      <c r="G569" s="6"/>
      <c r="H569" s="5"/>
    </row>
    <row r="570" spans="1:8" ht="15">
      <c r="A570" s="3"/>
      <c r="B570" s="9"/>
      <c r="C570" s="6"/>
      <c r="D570" s="6"/>
      <c r="E570" s="6"/>
      <c r="F570" s="7"/>
      <c r="G570" s="6"/>
      <c r="H570" s="5"/>
    </row>
    <row r="571" spans="1:8" ht="15">
      <c r="A571" s="3"/>
      <c r="B571" s="9"/>
      <c r="C571" s="6"/>
      <c r="D571" s="6"/>
      <c r="E571" s="6"/>
      <c r="F571" s="7"/>
      <c r="G571" s="6"/>
      <c r="H571" s="5"/>
    </row>
    <row r="572" spans="1:8" ht="15">
      <c r="A572" s="3"/>
      <c r="B572" s="9"/>
      <c r="C572" s="6"/>
      <c r="D572" s="6"/>
      <c r="E572" s="6"/>
      <c r="F572" s="7"/>
      <c r="G572" s="6"/>
      <c r="H572" s="5"/>
    </row>
    <row r="573" spans="1:8" ht="15">
      <c r="A573" s="3"/>
      <c r="B573" s="9"/>
      <c r="C573" s="6"/>
      <c r="D573" s="6"/>
      <c r="E573" s="6"/>
      <c r="F573" s="7"/>
      <c r="G573" s="6"/>
      <c r="H573" s="5"/>
    </row>
    <row r="574" spans="1:8" ht="15">
      <c r="A574" s="3"/>
      <c r="B574" s="9"/>
      <c r="C574" s="6"/>
      <c r="D574" s="6"/>
      <c r="E574" s="6"/>
      <c r="F574" s="7"/>
      <c r="G574" s="6"/>
      <c r="H574" s="5"/>
    </row>
    <row r="575" spans="1:8" ht="15">
      <c r="A575" s="3"/>
      <c r="B575" s="9"/>
      <c r="C575" s="6"/>
      <c r="D575" s="6"/>
      <c r="E575" s="6"/>
      <c r="F575" s="7"/>
      <c r="G575" s="6"/>
      <c r="H575" s="5"/>
    </row>
    <row r="576" spans="1:8" ht="15">
      <c r="A576" s="3"/>
      <c r="B576" s="9"/>
      <c r="C576" s="6"/>
      <c r="D576" s="6"/>
      <c r="E576" s="6"/>
      <c r="F576" s="7"/>
      <c r="G576" s="6"/>
      <c r="H576" s="5"/>
    </row>
    <row r="577" spans="1:8" ht="15">
      <c r="A577" s="3"/>
      <c r="B577" s="9"/>
      <c r="C577" s="6"/>
      <c r="D577" s="6"/>
      <c r="E577" s="6"/>
      <c r="F577" s="7"/>
      <c r="G577" s="6"/>
      <c r="H577" s="5"/>
    </row>
    <row r="578" spans="1:8" ht="15">
      <c r="A578" s="3"/>
      <c r="B578" s="9"/>
      <c r="C578" s="6"/>
      <c r="D578" s="6"/>
      <c r="E578" s="6"/>
      <c r="F578" s="7"/>
      <c r="G578" s="6"/>
      <c r="H578" s="5"/>
    </row>
    <row r="579" spans="1:8" ht="15">
      <c r="A579" s="3"/>
      <c r="B579" s="9"/>
      <c r="C579" s="6"/>
      <c r="D579" s="6"/>
      <c r="E579" s="6"/>
      <c r="F579" s="7"/>
      <c r="G579" s="6"/>
      <c r="H579" s="5"/>
    </row>
    <row r="580" spans="1:8" ht="15">
      <c r="A580" s="3"/>
      <c r="B580" s="9"/>
      <c r="C580" s="6"/>
      <c r="D580" s="6"/>
      <c r="E580" s="6"/>
      <c r="F580" s="7"/>
      <c r="G580" s="6"/>
      <c r="H580" s="5"/>
    </row>
    <row r="581" spans="1:8" ht="15">
      <c r="A581" s="3"/>
      <c r="B581" s="9"/>
      <c r="C581" s="6"/>
      <c r="D581" s="6"/>
      <c r="E581" s="6"/>
      <c r="F581" s="7"/>
      <c r="G581" s="6"/>
      <c r="H581" s="5"/>
    </row>
    <row r="582" spans="1:8" ht="15">
      <c r="A582" s="3"/>
      <c r="B582" s="9"/>
      <c r="C582" s="6"/>
      <c r="D582" s="6"/>
      <c r="E582" s="6"/>
      <c r="F582" s="7"/>
      <c r="G582" s="6"/>
      <c r="H582" s="5"/>
    </row>
    <row r="583" spans="1:8" ht="15">
      <c r="A583" s="3"/>
      <c r="B583" s="9"/>
      <c r="C583" s="6"/>
      <c r="D583" s="6"/>
      <c r="E583" s="6"/>
      <c r="F583" s="7"/>
      <c r="G583" s="6"/>
      <c r="H583" s="5"/>
    </row>
    <row r="584" spans="1:8" ht="15">
      <c r="A584" s="3"/>
      <c r="B584" s="9"/>
      <c r="C584" s="6"/>
      <c r="D584" s="6"/>
      <c r="E584" s="6"/>
      <c r="F584" s="7"/>
      <c r="G584" s="6"/>
      <c r="H584" s="5"/>
    </row>
    <row r="585" spans="1:8" ht="15">
      <c r="A585" s="3"/>
      <c r="B585" s="9"/>
      <c r="C585" s="6"/>
      <c r="D585" s="6"/>
      <c r="E585" s="6"/>
      <c r="F585" s="7"/>
      <c r="G585" s="6"/>
      <c r="H585" s="5"/>
    </row>
    <row r="586" spans="1:8" ht="15">
      <c r="A586" s="3"/>
      <c r="B586" s="9"/>
      <c r="C586" s="6"/>
      <c r="D586" s="6"/>
      <c r="E586" s="6"/>
      <c r="F586" s="7"/>
      <c r="G586" s="6"/>
      <c r="H586" s="5"/>
    </row>
    <row r="587" spans="1:8" ht="15">
      <c r="A587" s="3"/>
      <c r="B587" s="9"/>
      <c r="C587" s="6"/>
      <c r="D587" s="6"/>
      <c r="E587" s="6"/>
      <c r="F587" s="7"/>
      <c r="G587" s="6"/>
      <c r="H587" s="5"/>
    </row>
    <row r="588" spans="1:8" ht="15">
      <c r="A588" s="3"/>
      <c r="B588" s="9"/>
      <c r="C588" s="6"/>
      <c r="D588" s="6"/>
      <c r="E588" s="6"/>
      <c r="F588" s="7"/>
      <c r="G588" s="6"/>
      <c r="H588" s="5"/>
    </row>
    <row r="589" spans="1:8" ht="15">
      <c r="A589" s="3"/>
      <c r="B589" s="9"/>
      <c r="C589" s="6"/>
      <c r="D589" s="6"/>
      <c r="E589" s="6"/>
      <c r="F589" s="7"/>
      <c r="G589" s="6"/>
      <c r="H589" s="5"/>
    </row>
    <row r="590" spans="1:8" ht="15">
      <c r="A590" s="3"/>
      <c r="B590" s="9"/>
      <c r="C590" s="6"/>
      <c r="D590" s="6"/>
      <c r="E590" s="6"/>
      <c r="F590" s="7"/>
      <c r="G590" s="6"/>
      <c r="H590" s="5"/>
    </row>
  </sheetData>
  <sheetProtection/>
  <autoFilter ref="B9:H429"/>
  <mergeCells count="5">
    <mergeCell ref="E1:G1"/>
    <mergeCell ref="E2:G2"/>
    <mergeCell ref="E3:R3"/>
    <mergeCell ref="A6:R6"/>
    <mergeCell ref="A7:R7"/>
  </mergeCells>
  <printOptions/>
  <pageMargins left="0.984251968503937" right="0" top="0" bottom="0" header="0" footer="0"/>
  <pageSetup fitToHeight="2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2017-04-06T15:42:31Z</cp:lastPrinted>
  <dcterms:created xsi:type="dcterms:W3CDTF">2006-01-02T09:39:36Z</dcterms:created>
  <dcterms:modified xsi:type="dcterms:W3CDTF">2017-05-23T08:15:03Z</dcterms:modified>
  <cp:category/>
  <cp:version/>
  <cp:contentType/>
  <cp:contentStatus/>
</cp:coreProperties>
</file>